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8730" tabRatio="756" firstSheet="9" activeTab="9"/>
  </bookViews>
  <sheets>
    <sheet name="BU Spain" sheetId="1" state="hidden" r:id="rId1"/>
    <sheet name="BU Americas " sheetId="21" state="hidden" r:id="rId2"/>
    <sheet name="BU Italy" sheetId="23" state="hidden" r:id="rId3"/>
    <sheet name="BU Central Europe" sheetId="16" state="hidden" r:id="rId4"/>
    <sheet name="BU Benelux" sheetId="17" state="hidden" r:id="rId5"/>
    <sheet name="Status" sheetId="3" state="hidden" r:id="rId6"/>
    <sheet name="Cálculos" sheetId="4" state="hidden" r:id="rId7"/>
    <sheet name="Khalix" sheetId="10" state="hidden" r:id="rId8"/>
    <sheet name="Sheet6" sheetId="11" state="hidden" r:id="rId9"/>
    <sheet name="TEMPLATE" sheetId="25" r:id="rId10"/>
    <sheet name="BU, Type of Rent" sheetId="27" r:id="rId11"/>
    <sheet name="Check Countries" sheetId="29" r:id="rId12"/>
    <sheet name="Check Centers" sheetId="28" r:id="rId13"/>
  </sheets>
  <externalReferences>
    <externalReference r:id="rId14"/>
  </externalReferences>
  <definedNames>
    <definedName name="_xlnm._FilterDatabase" localSheetId="1" hidden="1">'BU Americas '!$A$4:$AZ$10</definedName>
    <definedName name="_xlnm._FilterDatabase" localSheetId="4" hidden="1">'BU Benelux'!$A$4:$BG$28</definedName>
    <definedName name="_xlnm._FilterDatabase" localSheetId="3" hidden="1">'BU Central Europe'!$A$4:$AY$69</definedName>
    <definedName name="_xlnm._FilterDatabase" localSheetId="2" hidden="1">'BU Italy'!$A$4:$AZ$35</definedName>
    <definedName name="_xlnm._FilterDatabase" localSheetId="0" hidden="1">'BU Spain'!$A$1:$AC$87</definedName>
    <definedName name="_xlnm._FilterDatabase" localSheetId="12" hidden="1">'Check Centers'!$B$1:$C$1</definedName>
    <definedName name="_xlnm._FilterDatabase" localSheetId="9" hidden="1">TEMPLATE!$A$4:$AW$5</definedName>
    <definedName name="ContractType">[1]Sheet2!$D$2:$D$7</definedName>
    <definedName name="_xlnm.Print_Area" localSheetId="9">TEMPLATE!$B$4:$AW$6</definedName>
  </definedNames>
  <calcPr calcId="145621"/>
</workbook>
</file>

<file path=xl/calcChain.xml><?xml version="1.0" encoding="utf-8"?>
<calcChain xmlns="http://schemas.openxmlformats.org/spreadsheetml/2006/main">
  <c r="F405" i="11" l="1"/>
  <c r="E405" i="11"/>
  <c r="E1" i="11"/>
  <c r="D2" i="10"/>
  <c r="E2" i="10" s="1"/>
  <c r="F2" i="10" s="1"/>
  <c r="G2" i="10" s="1"/>
  <c r="H2" i="10" s="1"/>
  <c r="I2" i="10" s="1"/>
  <c r="J2" i="10" s="1"/>
  <c r="K2" i="10" s="1"/>
  <c r="L2" i="10" s="1"/>
  <c r="M2" i="10" s="1"/>
  <c r="N2" i="10" s="1"/>
  <c r="O2" i="10" s="1"/>
  <c r="P2" i="10" s="1"/>
  <c r="Q2" i="10" s="1"/>
  <c r="R2" i="10" s="1"/>
  <c r="S2" i="10" s="1"/>
  <c r="T2" i="10" s="1"/>
  <c r="U2" i="10" s="1"/>
  <c r="V2" i="10" s="1"/>
  <c r="W2" i="10" s="1"/>
  <c r="X2" i="10" s="1"/>
  <c r="Y2" i="10" s="1"/>
  <c r="Z2" i="10" s="1"/>
  <c r="AA2" i="10" s="1"/>
  <c r="AB2" i="10" s="1"/>
  <c r="AC2" i="10" s="1"/>
  <c r="AD2" i="10" s="1"/>
  <c r="AE2" i="10" s="1"/>
  <c r="AF2" i="10" s="1"/>
  <c r="AG2" i="10" s="1"/>
  <c r="AH2" i="10" s="1"/>
  <c r="AI2" i="10" s="1"/>
  <c r="AJ2" i="10" s="1"/>
  <c r="AK2" i="10" s="1"/>
  <c r="AL2" i="10" s="1"/>
  <c r="AM2" i="10" s="1"/>
  <c r="AN2" i="10" s="1"/>
  <c r="AO2" i="10" s="1"/>
  <c r="AP2" i="10" s="1"/>
  <c r="AQ2" i="10" s="1"/>
  <c r="AR2" i="10" s="1"/>
  <c r="AS2" i="10" s="1"/>
  <c r="AT2" i="10" s="1"/>
  <c r="AU2" i="10" s="1"/>
  <c r="C2" i="10"/>
  <c r="D247" i="4"/>
  <c r="E247" i="4" s="1"/>
  <c r="C247" i="4"/>
  <c r="C243" i="4"/>
  <c r="B243" i="4"/>
  <c r="C238" i="4"/>
  <c r="C233" i="4"/>
  <c r="G228" i="4"/>
  <c r="F228" i="4"/>
  <c r="E228" i="4"/>
  <c r="D228" i="4"/>
  <c r="B225" i="4"/>
  <c r="C225" i="4" s="1"/>
  <c r="D225" i="4" s="1"/>
  <c r="D229" i="4" s="1"/>
  <c r="H221" i="4"/>
  <c r="G221" i="4"/>
  <c r="F221" i="4"/>
  <c r="E221" i="4"/>
  <c r="A221" i="4"/>
  <c r="E219" i="4"/>
  <c r="F219" i="4" s="1"/>
  <c r="G219" i="4" s="1"/>
  <c r="H219" i="4" s="1"/>
  <c r="C219" i="4"/>
  <c r="D219" i="4" s="1"/>
  <c r="C214" i="4"/>
  <c r="C209" i="4"/>
  <c r="C204" i="4"/>
  <c r="B204" i="4"/>
  <c r="C203" i="4"/>
  <c r="B203" i="4"/>
  <c r="C202" i="4"/>
  <c r="B202" i="4"/>
  <c r="C201" i="4"/>
  <c r="B201" i="4"/>
  <c r="C200" i="4"/>
  <c r="B200" i="4"/>
  <c r="C199" i="4"/>
  <c r="B199" i="4"/>
  <c r="C198" i="4"/>
  <c r="B198" i="4"/>
  <c r="E197" i="4"/>
  <c r="D197" i="4"/>
  <c r="C197" i="4"/>
  <c r="C205" i="4" s="1"/>
  <c r="B197" i="4"/>
  <c r="C192" i="4"/>
  <c r="C187" i="4"/>
  <c r="C182" i="4"/>
  <c r="D177" i="4"/>
  <c r="E177" i="4" s="1"/>
  <c r="C177" i="4"/>
  <c r="C172" i="4"/>
  <c r="C167" i="4"/>
  <c r="D162" i="4"/>
  <c r="C162" i="4"/>
  <c r="C157" i="4"/>
  <c r="C152" i="4"/>
  <c r="C147" i="4"/>
  <c r="D147" i="4" s="1"/>
  <c r="E147" i="4" s="1"/>
  <c r="C142" i="4"/>
  <c r="D142" i="4" s="1"/>
  <c r="E142" i="4" s="1"/>
  <c r="F142" i="4" s="1"/>
  <c r="G142" i="4" s="1"/>
  <c r="H142" i="4" s="1"/>
  <c r="C137" i="4"/>
  <c r="C132" i="4"/>
  <c r="C127" i="4"/>
  <c r="C122" i="4"/>
  <c r="C117" i="4"/>
  <c r="D117" i="4" s="1"/>
  <c r="C112" i="4"/>
  <c r="C107" i="4"/>
  <c r="C102" i="4"/>
  <c r="D102" i="4" s="1"/>
  <c r="C97" i="4"/>
  <c r="C92" i="4"/>
  <c r="C87" i="4"/>
  <c r="C81" i="4"/>
  <c r="C83" i="4" s="1"/>
  <c r="C76" i="4"/>
  <c r="C71" i="4"/>
  <c r="B67" i="4"/>
  <c r="D65" i="4"/>
  <c r="C64" i="4"/>
  <c r="D64" i="4" s="1"/>
  <c r="E64" i="4" s="1"/>
  <c r="E65" i="4" s="1"/>
  <c r="C59" i="4"/>
  <c r="D59" i="4" s="1"/>
  <c r="C54" i="4"/>
  <c r="E49" i="4"/>
  <c r="F49" i="4" s="1"/>
  <c r="G49" i="4" s="1"/>
  <c r="D49" i="4"/>
  <c r="C44" i="4"/>
  <c r="B38" i="4"/>
  <c r="H37" i="4"/>
  <c r="H36" i="4"/>
  <c r="C32" i="4"/>
  <c r="C38" i="4" s="1"/>
  <c r="C27" i="4"/>
  <c r="C22" i="4"/>
  <c r="D22" i="4" s="1"/>
  <c r="E22" i="4" s="1"/>
  <c r="F22" i="4" s="1"/>
  <c r="G22" i="4" s="1"/>
  <c r="G19" i="4"/>
  <c r="B15" i="4"/>
  <c r="C14" i="4"/>
  <c r="C15" i="4" s="1"/>
  <c r="B14" i="4"/>
  <c r="D11" i="4"/>
  <c r="D14" i="4" s="1"/>
  <c r="D15" i="4" s="1"/>
  <c r="C11" i="4"/>
  <c r="B7" i="4"/>
  <c r="C6" i="4"/>
  <c r="C7" i="4" s="1"/>
  <c r="B6" i="4"/>
  <c r="D3" i="4"/>
  <c r="D6" i="4" s="1"/>
  <c r="D7" i="4" s="1"/>
  <c r="C3" i="4"/>
  <c r="AX22" i="17"/>
  <c r="AW22" i="17"/>
  <c r="AK22" i="17"/>
  <c r="L22" i="17"/>
  <c r="AN22" i="17" s="1"/>
  <c r="BB22" i="17" s="1"/>
  <c r="BD22" i="17" s="1"/>
  <c r="AX12" i="17"/>
  <c r="AW12" i="17"/>
  <c r="AA12" i="17"/>
  <c r="AK12" i="17" s="1"/>
  <c r="AM12" i="17" s="1"/>
  <c r="K12" i="17"/>
  <c r="AN12" i="17" s="1"/>
  <c r="AX11" i="17"/>
  <c r="AV11" i="17"/>
  <c r="AU11" i="17"/>
  <c r="AW11" i="17" s="1"/>
  <c r="AN11" i="17"/>
  <c r="AI11" i="17" s="1"/>
  <c r="AK11" i="17" s="1"/>
  <c r="AM11" i="17" s="1"/>
  <c r="BB11" i="17" s="1"/>
  <c r="BD11" i="17" s="1"/>
  <c r="K11" i="17"/>
  <c r="AX8" i="17"/>
  <c r="AW8" i="17"/>
  <c r="AV8" i="17"/>
  <c r="AU8" i="17"/>
  <c r="AM8" i="17"/>
  <c r="BB8" i="17" s="1"/>
  <c r="BD8" i="17" s="1"/>
  <c r="L8" i="17"/>
  <c r="K8" i="17"/>
  <c r="AN8" i="17" s="1"/>
  <c r="AI8" i="17" s="1"/>
  <c r="AK8" i="17" s="1"/>
  <c r="AN69" i="16"/>
  <c r="BB69" i="16" s="1"/>
  <c r="J69" i="16"/>
  <c r="I69" i="16"/>
  <c r="E69" i="16"/>
  <c r="AN68" i="16"/>
  <c r="BB68" i="16" s="1"/>
  <c r="J68" i="16"/>
  <c r="I68" i="16"/>
  <c r="E68" i="16"/>
  <c r="AN67" i="16"/>
  <c r="BB67" i="16" s="1"/>
  <c r="J67" i="16"/>
  <c r="I67" i="16"/>
  <c r="E67" i="16"/>
  <c r="BB66" i="16"/>
  <c r="AN66" i="16"/>
  <c r="J66" i="16"/>
  <c r="I66" i="16"/>
  <c r="E66" i="16"/>
  <c r="AN65" i="16"/>
  <c r="BB65" i="16" s="1"/>
  <c r="J65" i="16"/>
  <c r="I65" i="16"/>
  <c r="E65" i="16"/>
  <c r="AX64" i="16"/>
  <c r="AW64" i="16"/>
  <c r="AK64" i="16"/>
  <c r="AM64" i="16" s="1"/>
  <c r="BB64" i="16" s="1"/>
  <c r="BD64" i="16" s="1"/>
  <c r="J64" i="16"/>
  <c r="I64" i="16"/>
  <c r="E64" i="16"/>
  <c r="AN63" i="16"/>
  <c r="BB63" i="16" s="1"/>
  <c r="J63" i="16"/>
  <c r="I63" i="16"/>
  <c r="E63" i="16"/>
  <c r="BB62" i="16"/>
  <c r="J62" i="16"/>
  <c r="I62" i="16"/>
  <c r="E62" i="16"/>
  <c r="BB61" i="16"/>
  <c r="AN61" i="16"/>
  <c r="J61" i="16"/>
  <c r="I61" i="16"/>
  <c r="E61" i="16"/>
  <c r="AX60" i="16"/>
  <c r="AW60" i="16"/>
  <c r="AI60" i="16"/>
  <c r="AK60" i="16" s="1"/>
  <c r="AM60" i="16" s="1"/>
  <c r="BB60" i="16" s="1"/>
  <c r="BD60" i="16" s="1"/>
  <c r="J60" i="16"/>
  <c r="I60" i="16"/>
  <c r="E60" i="16"/>
  <c r="BB59" i="16"/>
  <c r="BD59" i="16" s="1"/>
  <c r="AX59" i="16"/>
  <c r="AW59" i="16"/>
  <c r="AN59" i="16"/>
  <c r="AK59" i="16"/>
  <c r="J59" i="16"/>
  <c r="I59" i="16"/>
  <c r="E59" i="16"/>
  <c r="AX58" i="16"/>
  <c r="AW58" i="16"/>
  <c r="AN58" i="16"/>
  <c r="BB58" i="16" s="1"/>
  <c r="BD58" i="16" s="1"/>
  <c r="AK58" i="16"/>
  <c r="J58" i="16"/>
  <c r="I58" i="16"/>
  <c r="E58" i="16"/>
  <c r="AN57" i="16"/>
  <c r="BB57" i="16" s="1"/>
  <c r="J57" i="16"/>
  <c r="I57" i="16"/>
  <c r="E57" i="16"/>
  <c r="BB56" i="16"/>
  <c r="J56" i="16"/>
  <c r="I56" i="16"/>
  <c r="E56" i="16"/>
  <c r="BB55" i="16"/>
  <c r="J55" i="16"/>
  <c r="I55" i="16"/>
  <c r="E55" i="16"/>
  <c r="AN54" i="16"/>
  <c r="BB54" i="16" s="1"/>
  <c r="J54" i="16"/>
  <c r="I54" i="16"/>
  <c r="E54" i="16"/>
  <c r="AX53" i="16"/>
  <c r="AW53" i="16"/>
  <c r="AK53" i="16"/>
  <c r="AM53" i="16" s="1"/>
  <c r="BB53" i="16" s="1"/>
  <c r="BD53" i="16" s="1"/>
  <c r="J53" i="16"/>
  <c r="I53" i="16"/>
  <c r="E53" i="16"/>
  <c r="BB52" i="16"/>
  <c r="AN52" i="16"/>
  <c r="J52" i="16"/>
  <c r="I52" i="16"/>
  <c r="E52" i="16"/>
  <c r="AN51" i="16"/>
  <c r="BB51" i="16" s="1"/>
  <c r="J51" i="16"/>
  <c r="I51" i="16"/>
  <c r="E51" i="16"/>
  <c r="BB50" i="16"/>
  <c r="J50" i="16"/>
  <c r="I50" i="16"/>
  <c r="E50" i="16"/>
  <c r="AX49" i="16"/>
  <c r="AW49" i="16"/>
  <c r="AN49" i="16"/>
  <c r="AK49" i="16"/>
  <c r="AM49" i="16" s="1"/>
  <c r="BB49" i="16" s="1"/>
  <c r="BD49" i="16" s="1"/>
  <c r="AI49" i="16"/>
  <c r="J49" i="16"/>
  <c r="I49" i="16"/>
  <c r="E49" i="16"/>
  <c r="AX48" i="16"/>
  <c r="AW48" i="16"/>
  <c r="AI48" i="16"/>
  <c r="AK48" i="16" s="1"/>
  <c r="AM48" i="16" s="1"/>
  <c r="BB48" i="16" s="1"/>
  <c r="BD48" i="16" s="1"/>
  <c r="I48" i="16"/>
  <c r="E48" i="16"/>
  <c r="BB47" i="16"/>
  <c r="J47" i="16"/>
  <c r="I47" i="16"/>
  <c r="E47" i="16"/>
  <c r="AN46" i="16"/>
  <c r="BB46" i="16" s="1"/>
  <c r="J46" i="16"/>
  <c r="I46" i="16"/>
  <c r="E46" i="16"/>
  <c r="AX45" i="16"/>
  <c r="AW45" i="16"/>
  <c r="AN45" i="16"/>
  <c r="AM45" i="16"/>
  <c r="BB45" i="16" s="1"/>
  <c r="BD45" i="16" s="1"/>
  <c r="AK45" i="16"/>
  <c r="J45" i="16"/>
  <c r="I45" i="16"/>
  <c r="E45" i="16"/>
  <c r="AN44" i="16"/>
  <c r="BB44" i="16" s="1"/>
  <c r="J44" i="16"/>
  <c r="I44" i="16"/>
  <c r="E44" i="16"/>
  <c r="BB43" i="16"/>
  <c r="AN43" i="16"/>
  <c r="J43" i="16"/>
  <c r="I43" i="16"/>
  <c r="E43" i="16"/>
  <c r="AN42" i="16"/>
  <c r="BB42" i="16" s="1"/>
  <c r="J42" i="16"/>
  <c r="I42" i="16"/>
  <c r="E42" i="16"/>
  <c r="BB41" i="16"/>
  <c r="AN41" i="16"/>
  <c r="J41" i="16"/>
  <c r="I41" i="16"/>
  <c r="E41" i="16"/>
  <c r="AX40" i="16"/>
  <c r="AW40" i="16"/>
  <c r="AK40" i="16"/>
  <c r="L40" i="16"/>
  <c r="AN40" i="16" s="1"/>
  <c r="BB40" i="16" s="1"/>
  <c r="BD40" i="16" s="1"/>
  <c r="J40" i="16"/>
  <c r="I40" i="16"/>
  <c r="E40" i="16"/>
  <c r="BB39" i="16"/>
  <c r="J39" i="16"/>
  <c r="I39" i="16"/>
  <c r="E39" i="16"/>
  <c r="AN38" i="16"/>
  <c r="BB38" i="16" s="1"/>
  <c r="J38" i="16"/>
  <c r="I38" i="16"/>
  <c r="E38" i="16"/>
  <c r="BB37" i="16"/>
  <c r="AN37" i="16"/>
  <c r="J37" i="16"/>
  <c r="I37" i="16"/>
  <c r="E37" i="16"/>
  <c r="AN36" i="16"/>
  <c r="BB36" i="16" s="1"/>
  <c r="J36" i="16"/>
  <c r="I36" i="16"/>
  <c r="E36" i="16"/>
  <c r="BB35" i="16"/>
  <c r="AN35" i="16"/>
  <c r="J35" i="16"/>
  <c r="I35" i="16"/>
  <c r="E35" i="16"/>
  <c r="BB34" i="16"/>
  <c r="J34" i="16"/>
  <c r="I34" i="16"/>
  <c r="E34" i="16"/>
  <c r="BB33" i="16"/>
  <c r="BD33" i="16" s="1"/>
  <c r="AX33" i="16"/>
  <c r="AW33" i="16"/>
  <c r="AK33" i="16"/>
  <c r="AM33" i="16" s="1"/>
  <c r="AA33" i="16"/>
  <c r="J33" i="16"/>
  <c r="I33" i="16"/>
  <c r="E33" i="16"/>
  <c r="AN32" i="16"/>
  <c r="BB32" i="16" s="1"/>
  <c r="J32" i="16"/>
  <c r="I32" i="16"/>
  <c r="E32" i="16"/>
  <c r="BB31" i="16"/>
  <c r="AN31" i="16"/>
  <c r="J31" i="16"/>
  <c r="I31" i="16"/>
  <c r="E31" i="16"/>
  <c r="AX30" i="16"/>
  <c r="AW30" i="16"/>
  <c r="AK30" i="16"/>
  <c r="AM30" i="16" s="1"/>
  <c r="BB30" i="16" s="1"/>
  <c r="BD30" i="16" s="1"/>
  <c r="J30" i="16"/>
  <c r="I30" i="16"/>
  <c r="E30" i="16"/>
  <c r="BB29" i="16"/>
  <c r="AN29" i="16"/>
  <c r="J29" i="16"/>
  <c r="I29" i="16"/>
  <c r="E29" i="16"/>
  <c r="AN28" i="16"/>
  <c r="BB28" i="16" s="1"/>
  <c r="J28" i="16"/>
  <c r="I28" i="16"/>
  <c r="E28" i="16"/>
  <c r="BB27" i="16"/>
  <c r="AN27" i="16"/>
  <c r="J27" i="16"/>
  <c r="I27" i="16"/>
  <c r="E27" i="16"/>
  <c r="AN26" i="16"/>
  <c r="BB26" i="16" s="1"/>
  <c r="J26" i="16"/>
  <c r="I26" i="16"/>
  <c r="E26" i="16"/>
  <c r="BB25" i="16"/>
  <c r="AN25" i="16"/>
  <c r="J25" i="16"/>
  <c r="I25" i="16"/>
  <c r="E25" i="16"/>
  <c r="AN24" i="16"/>
  <c r="BB24" i="16" s="1"/>
  <c r="J24" i="16"/>
  <c r="I24" i="16"/>
  <c r="E24" i="16"/>
  <c r="BB23" i="16"/>
  <c r="AN23" i="16"/>
  <c r="J23" i="16"/>
  <c r="I23" i="16"/>
  <c r="E23" i="16"/>
  <c r="AN22" i="16"/>
  <c r="BB22" i="16" s="1"/>
  <c r="J22" i="16"/>
  <c r="I22" i="16"/>
  <c r="E22" i="16"/>
  <c r="BB21" i="16"/>
  <c r="AN21" i="16"/>
  <c r="J21" i="16"/>
  <c r="I21" i="16"/>
  <c r="E21" i="16"/>
  <c r="AN20" i="16"/>
  <c r="BB20" i="16" s="1"/>
  <c r="J20" i="16"/>
  <c r="I20" i="16"/>
  <c r="E20" i="16"/>
  <c r="BB19" i="16"/>
  <c r="AN19" i="16"/>
  <c r="J19" i="16"/>
  <c r="I19" i="16"/>
  <c r="BB18" i="16"/>
  <c r="AN18" i="16"/>
  <c r="J18" i="16"/>
  <c r="I18" i="16"/>
  <c r="E18" i="16"/>
  <c r="AN17" i="16"/>
  <c r="BB17" i="16" s="1"/>
  <c r="J17" i="16"/>
  <c r="I17" i="16"/>
  <c r="E17" i="16"/>
  <c r="BB16" i="16"/>
  <c r="AN16" i="16"/>
  <c r="J16" i="16"/>
  <c r="I16" i="16"/>
  <c r="E16" i="16"/>
  <c r="AN15" i="16"/>
  <c r="BB15" i="16" s="1"/>
  <c r="J15" i="16"/>
  <c r="I15" i="16"/>
  <c r="E15" i="16"/>
  <c r="AN14" i="16"/>
  <c r="BB14" i="16" s="1"/>
  <c r="J14" i="16"/>
  <c r="I14" i="16"/>
  <c r="E14" i="16"/>
  <c r="AN13" i="16"/>
  <c r="BB13" i="16" s="1"/>
  <c r="J13" i="16"/>
  <c r="I13" i="16"/>
  <c r="E13" i="16"/>
  <c r="BB12" i="16"/>
  <c r="AN12" i="16"/>
  <c r="J12" i="16"/>
  <c r="I12" i="16"/>
  <c r="E12" i="16"/>
  <c r="AN11" i="16"/>
  <c r="BB11" i="16" s="1"/>
  <c r="J11" i="16"/>
  <c r="I11" i="16"/>
  <c r="E11" i="16"/>
  <c r="AN10" i="16"/>
  <c r="BB10" i="16" s="1"/>
  <c r="J10" i="16"/>
  <c r="I10" i="16"/>
  <c r="E10" i="16"/>
  <c r="AN9" i="16"/>
  <c r="BB9" i="16" s="1"/>
  <c r="J9" i="16"/>
  <c r="I9" i="16"/>
  <c r="E9" i="16"/>
  <c r="K8" i="16"/>
  <c r="AN8" i="16" s="1"/>
  <c r="BB8" i="16" s="1"/>
  <c r="J8" i="16"/>
  <c r="I8" i="16"/>
  <c r="E8" i="16"/>
  <c r="AN7" i="16"/>
  <c r="BB7" i="16" s="1"/>
  <c r="J7" i="16"/>
  <c r="I7" i="16"/>
  <c r="AN6" i="16"/>
  <c r="BB6" i="16" s="1"/>
  <c r="J6" i="16"/>
  <c r="I6" i="16"/>
  <c r="E6" i="16"/>
  <c r="AN5" i="16"/>
  <c r="BB5" i="16" s="1"/>
  <c r="J5" i="16"/>
  <c r="I5" i="16"/>
  <c r="E5" i="16"/>
  <c r="BC35" i="23"/>
  <c r="AW35" i="23"/>
  <c r="AV35" i="23"/>
  <c r="AL35" i="23"/>
  <c r="BA35" i="23" s="1"/>
  <c r="AJ35" i="23"/>
  <c r="K35" i="23"/>
  <c r="AK35" i="23" s="1"/>
  <c r="AW34" i="23"/>
  <c r="AV34" i="23"/>
  <c r="AM34" i="23"/>
  <c r="AJ34" i="23"/>
  <c r="AL34" i="23" s="1"/>
  <c r="BA34" i="23" s="1"/>
  <c r="BC34" i="23" s="1"/>
  <c r="AW29" i="23"/>
  <c r="AV29" i="23"/>
  <c r="AM29" i="23"/>
  <c r="AL29" i="23"/>
  <c r="BA29" i="23" s="1"/>
  <c r="BC29" i="23" s="1"/>
  <c r="AJ29" i="23"/>
  <c r="AW28" i="23"/>
  <c r="AV28" i="23"/>
  <c r="AM28" i="23"/>
  <c r="AL28" i="23"/>
  <c r="BA28" i="23" s="1"/>
  <c r="BC28" i="23" s="1"/>
  <c r="AK28" i="23"/>
  <c r="AJ28" i="23"/>
  <c r="AU25" i="23"/>
  <c r="AS25" i="23"/>
  <c r="AQ25" i="23"/>
  <c r="AW25" i="23" s="1"/>
  <c r="AP25" i="23"/>
  <c r="AV25" i="23" s="1"/>
  <c r="Z25" i="23"/>
  <c r="AJ25" i="23" s="1"/>
  <c r="AL25" i="23" s="1"/>
  <c r="BA25" i="23" s="1"/>
  <c r="BC25" i="23" s="1"/>
  <c r="AW23" i="23"/>
  <c r="AV23" i="23"/>
  <c r="AM23" i="23"/>
  <c r="AJ23" i="23"/>
  <c r="AL23" i="23" s="1"/>
  <c r="BA23" i="23" s="1"/>
  <c r="BC23" i="23" s="1"/>
  <c r="BC22" i="23"/>
  <c r="AW22" i="23"/>
  <c r="AV22" i="23"/>
  <c r="AM22" i="23"/>
  <c r="BA22" i="23" s="1"/>
  <c r="AM21" i="23"/>
  <c r="AL21" i="23"/>
  <c r="BA21" i="23" s="1"/>
  <c r="BC21" i="23" s="1"/>
  <c r="AJ21" i="23"/>
  <c r="AW18" i="23"/>
  <c r="AV18" i="23"/>
  <c r="AM18" i="23"/>
  <c r="AL18" i="23"/>
  <c r="BA18" i="23" s="1"/>
  <c r="BC18" i="23" s="1"/>
  <c r="AK18" i="23"/>
  <c r="AJ18" i="23"/>
  <c r="AW15" i="23"/>
  <c r="AV15" i="23"/>
  <c r="AK15" i="23"/>
  <c r="AJ15" i="23"/>
  <c r="AL15" i="23" s="1"/>
  <c r="BA15" i="23" s="1"/>
  <c r="BC15" i="23" s="1"/>
  <c r="AW13" i="23"/>
  <c r="AV13" i="23"/>
  <c r="AK13" i="23"/>
  <c r="AM13" i="23" s="1"/>
  <c r="BA13" i="23" s="1"/>
  <c r="BC13" i="23" s="1"/>
  <c r="AJ13" i="23"/>
  <c r="BC8" i="23"/>
  <c r="AW8" i="23"/>
  <c r="AV8" i="23"/>
  <c r="AM8" i="23"/>
  <c r="BA8" i="23" s="1"/>
  <c r="AJ8" i="23"/>
  <c r="K8" i="23"/>
  <c r="AW6" i="23"/>
  <c r="AV6" i="23"/>
  <c r="AM6" i="23"/>
  <c r="BA6" i="23" s="1"/>
  <c r="BC6" i="23" s="1"/>
  <c r="K12" i="21"/>
  <c r="K9" i="21" s="1"/>
  <c r="K11" i="21"/>
  <c r="AW10" i="21"/>
  <c r="AV10" i="21"/>
  <c r="AK10" i="21"/>
  <c r="AJ10" i="21"/>
  <c r="AL10" i="21" s="1"/>
  <c r="BA10" i="21" s="1"/>
  <c r="BC10" i="21" s="1"/>
  <c r="Q10" i="21"/>
  <c r="T10" i="21" s="1"/>
  <c r="W10" i="21" s="1"/>
  <c r="N10" i="21"/>
  <c r="K10" i="21"/>
  <c r="AW9" i="21"/>
  <c r="AV9" i="21"/>
  <c r="AK9" i="21"/>
  <c r="AJ9" i="21"/>
  <c r="AL9" i="21" s="1"/>
  <c r="BA9" i="21" s="1"/>
  <c r="BC9" i="21" s="1"/>
  <c r="Q9" i="21"/>
  <c r="T9" i="21" s="1"/>
  <c r="W9" i="21" s="1"/>
  <c r="N9" i="21"/>
  <c r="BA8" i="21"/>
  <c r="BC8" i="21" s="1"/>
  <c r="AW8" i="21"/>
  <c r="AV8" i="21"/>
  <c r="AK8" i="21"/>
  <c r="AM8" i="21" s="1"/>
  <c r="AJ8" i="21"/>
  <c r="N8" i="21"/>
  <c r="Q8" i="21" s="1"/>
  <c r="T8" i="21" s="1"/>
  <c r="W8" i="21" s="1"/>
  <c r="K8" i="21"/>
  <c r="M7" i="21"/>
  <c r="P7" i="21" s="1"/>
  <c r="S7" i="21" s="1"/>
  <c r="O76" i="1"/>
  <c r="U72" i="1"/>
  <c r="U71" i="1"/>
  <c r="R71" i="1"/>
  <c r="O71" i="1"/>
  <c r="L70" i="1"/>
  <c r="L68" i="1"/>
  <c r="L62" i="1"/>
  <c r="L59" i="1"/>
  <c r="M57" i="1"/>
  <c r="O53" i="1"/>
  <c r="L48" i="1"/>
  <c r="O46" i="1"/>
  <c r="O40" i="1"/>
  <c r="R37" i="1"/>
  <c r="O37" i="1"/>
  <c r="M23" i="1"/>
  <c r="P22" i="1"/>
  <c r="O21" i="1"/>
  <c r="O8" i="1"/>
  <c r="R3" i="1"/>
  <c r="O3" i="1"/>
  <c r="BB12" i="17" l="1"/>
  <c r="BD12" i="17" s="1"/>
  <c r="I36" i="4"/>
  <c r="E225" i="4"/>
  <c r="F247" i="4"/>
  <c r="E243" i="4"/>
  <c r="D243" i="4"/>
  <c r="D32" i="4"/>
  <c r="D81" i="4"/>
  <c r="D38" i="4" l="1"/>
  <c r="E32" i="4"/>
  <c r="E229" i="4"/>
  <c r="F225" i="4"/>
  <c r="D83" i="4"/>
  <c r="E81" i="4"/>
  <c r="F32" i="4" l="1"/>
  <c r="E38" i="4"/>
  <c r="G225" i="4"/>
  <c r="F229" i="4"/>
  <c r="H225" i="4" l="1"/>
  <c r="I225" i="4" s="1"/>
  <c r="G229" i="4"/>
  <c r="G32" i="4"/>
  <c r="F38" i="4"/>
  <c r="G38" i="4" l="1"/>
  <c r="H32" i="4"/>
  <c r="H33" i="4" l="1"/>
  <c r="I32" i="4"/>
  <c r="I40" i="4" s="1"/>
  <c r="G39" i="4"/>
  <c r="G40" i="4" s="1"/>
</calcChain>
</file>

<file path=xl/comments1.xml><?xml version="1.0" encoding="utf-8"?>
<comments xmlns="http://schemas.openxmlformats.org/spreadsheetml/2006/main">
  <authors>
    <author>NH Hotels</author>
  </authors>
  <commentList>
    <comment ref="D8" authorId="0">
      <text>
        <r>
          <rPr>
            <b/>
            <sz val="9"/>
            <color indexed="81"/>
            <rFont val="Tahoma"/>
            <family val="2"/>
          </rPr>
          <t>NH Hotels:</t>
        </r>
        <r>
          <rPr>
            <sz val="9"/>
            <color indexed="81"/>
            <rFont val="Tahoma"/>
            <family val="2"/>
          </rPr>
          <t xml:space="preserve">
Pasados 6 años desde 01 de enero de 2013 derecho de resolución anticipad </t>
        </r>
      </text>
    </comment>
    <comment ref="D9" authorId="0">
      <text>
        <r>
          <rPr>
            <b/>
            <sz val="9"/>
            <color indexed="81"/>
            <rFont val="Tahoma"/>
            <family val="2"/>
          </rPr>
          <t>NH Hotels:</t>
        </r>
        <r>
          <rPr>
            <sz val="9"/>
            <color indexed="81"/>
            <rFont val="Tahoma"/>
            <family val="2"/>
          </rPr>
          <t xml:space="preserve">
El CA de 2007 dice: las partes se comprometen a prorrogarlo 5 años desde 30/092018 pero sólo 2 de obligado cumplimiento
</t>
        </r>
      </text>
    </comment>
    <comment ref="D10" authorId="0">
      <text>
        <r>
          <rPr>
            <b/>
            <sz val="9"/>
            <color indexed="81"/>
            <rFont val="Tahoma"/>
            <family val="2"/>
          </rPr>
          <t>NH Hotels:</t>
        </r>
        <r>
          <rPr>
            <sz val="9"/>
            <color indexed="81"/>
            <rFont val="Tahoma"/>
            <family val="2"/>
          </rPr>
          <t xml:space="preserve">
El CA de 2007 dice: las partes se comprometen a prorrogarlo 5 años desde 30/092018 pero sólo 2 de obligado cumplimiento</t>
        </r>
      </text>
    </comment>
    <comment ref="H17" authorId="0">
      <text>
        <r>
          <rPr>
            <b/>
            <sz val="9"/>
            <color indexed="81"/>
            <rFont val="Tahoma"/>
            <family val="2"/>
          </rPr>
          <t>NH Hotels:</t>
        </r>
        <r>
          <rPr>
            <sz val="9"/>
            <color indexed="81"/>
            <rFont val="Tahoma"/>
            <family val="2"/>
          </rPr>
          <t xml:space="preserve">
Según  documento 20/04/2012 de actualización de renta</t>
        </r>
      </text>
    </comment>
    <comment ref="M23" authorId="0">
      <text>
        <r>
          <rPr>
            <b/>
            <sz val="9"/>
            <color indexed="81"/>
            <rFont val="Tahoma"/>
            <family val="2"/>
          </rPr>
          <t>NH Hotels:</t>
        </r>
        <r>
          <rPr>
            <sz val="9"/>
            <color indexed="81"/>
            <rFont val="Tahoma"/>
            <family val="2"/>
          </rPr>
          <t xml:space="preserve">
Renta hotel + renta parking que va variando mes a mes</t>
        </r>
      </text>
    </comment>
    <comment ref="I29" authorId="0">
      <text>
        <r>
          <rPr>
            <b/>
            <sz val="9"/>
            <color indexed="81"/>
            <rFont val="Tahoma"/>
            <family val="2"/>
          </rPr>
          <t>NH Hotels:</t>
        </r>
        <r>
          <rPr>
            <sz val="9"/>
            <color indexed="81"/>
            <rFont val="Tahoma"/>
            <family val="2"/>
          </rPr>
          <t xml:space="preserve">
Según Adenda CA 2013 de enero a marzo de 2015 sigue el decuento, a partir de abril se retoma renta anterior +20%; cuando IPC?
</t>
        </r>
      </text>
    </comment>
    <comment ref="D59" authorId="0">
      <text>
        <r>
          <rPr>
            <b/>
            <sz val="9"/>
            <color indexed="81"/>
            <rFont val="Tahoma"/>
            <family val="2"/>
          </rPr>
          <t>NH Hotels:</t>
        </r>
        <r>
          <rPr>
            <sz val="9"/>
            <color indexed="81"/>
            <rFont val="Tahoma"/>
            <family val="2"/>
          </rPr>
          <t xml:space="preserve">
20 años desde la fecha de recepción del inmueble</t>
        </r>
      </text>
    </comment>
    <comment ref="D60" authorId="0">
      <text>
        <r>
          <rPr>
            <b/>
            <sz val="9"/>
            <color indexed="81"/>
            <rFont val="Tahoma"/>
            <family val="2"/>
          </rPr>
          <t>NH Hotels:</t>
        </r>
        <r>
          <rPr>
            <sz val="9"/>
            <color indexed="81"/>
            <rFont val="Tahoma"/>
            <family val="2"/>
          </rPr>
          <t xml:space="preserve">
Se concede a la propiedad la faculta de prórroga + 2 años hasta 18/06/2022 siempre y cuando se cumplan dos condiciones simultaneas: 1) misma propiedad 2) Renta inferior al 95% del Gop del año anterior</t>
        </r>
      </text>
    </comment>
    <comment ref="D61" authorId="0">
      <text>
        <r>
          <rPr>
            <b/>
            <sz val="9"/>
            <color indexed="81"/>
            <rFont val="Tahoma"/>
            <family val="2"/>
          </rPr>
          <t>NH Hotels:</t>
        </r>
        <r>
          <rPr>
            <sz val="9"/>
            <color indexed="81"/>
            <rFont val="Tahoma"/>
            <family val="2"/>
          </rPr>
          <t xml:space="preserve">
Llegados al 15 de Diciembre de 2020 la propiedad tiene derecho a extender el contrato 3 años más
</t>
        </r>
      </text>
    </comment>
    <comment ref="I66" authorId="0">
      <text>
        <r>
          <rPr>
            <b/>
            <sz val="9"/>
            <color indexed="81"/>
            <rFont val="Tahoma"/>
            <family val="2"/>
          </rPr>
          <t>NH Hotels:</t>
        </r>
        <r>
          <rPr>
            <sz val="9"/>
            <color indexed="81"/>
            <rFont val="Tahoma"/>
            <family val="2"/>
          </rPr>
          <t xml:space="preserve">
CA no fecha IPC; adenda habla de enero y una modificacion de 2012 habla de marzo
</t>
        </r>
      </text>
    </comment>
  </commentList>
</comments>
</file>

<file path=xl/comments2.xml><?xml version="1.0" encoding="utf-8"?>
<comments xmlns="http://schemas.openxmlformats.org/spreadsheetml/2006/main">
  <authors>
    <author>NH Hotels</author>
  </authors>
  <commentList>
    <comment ref="F222" authorId="0">
      <text>
        <r>
          <rPr>
            <b/>
            <sz val="9"/>
            <color indexed="81"/>
            <rFont val="Tahoma"/>
            <family val="2"/>
          </rPr>
          <t>NH Hotels:</t>
        </r>
        <r>
          <rPr>
            <sz val="9"/>
            <color indexed="81"/>
            <rFont val="Tahoma"/>
            <family val="2"/>
          </rPr>
          <t xml:space="preserve">
NH Sants Centre</t>
        </r>
      </text>
    </comment>
  </commentList>
</comments>
</file>

<file path=xl/comments3.xml><?xml version="1.0" encoding="utf-8"?>
<comments xmlns="http://schemas.openxmlformats.org/spreadsheetml/2006/main">
  <authors>
    <author>i.galipienzo</author>
    <author>Carmen Brufau</author>
    <author>NH-HOTEL-GROUP</author>
  </authors>
  <commentList>
    <comment ref="C32" authorId="0">
      <text>
        <r>
          <rPr>
            <b/>
            <sz val="9"/>
            <color indexed="81"/>
            <rFont val="Tahoma"/>
            <family val="2"/>
          </rPr>
          <t>i.galipienzo:</t>
        </r>
        <r>
          <rPr>
            <sz val="9"/>
            <color indexed="81"/>
            <rFont val="Tahoma"/>
            <family val="2"/>
          </rPr>
          <t xml:space="preserve">
cambio nombre
</t>
        </r>
      </text>
    </comment>
    <comment ref="C96" authorId="1">
      <text>
        <r>
          <rPr>
            <b/>
            <sz val="9"/>
            <color indexed="81"/>
            <rFont val="Tahoma"/>
            <family val="2"/>
          </rPr>
          <t>Carmen Brufau:</t>
        </r>
        <r>
          <rPr>
            <sz val="9"/>
            <color indexed="81"/>
            <rFont val="Tahoma"/>
            <family val="2"/>
          </rPr>
          <t xml:space="preserve">
PALACIO DE BURGOS</t>
        </r>
      </text>
    </comment>
    <comment ref="C237" authorId="1">
      <text>
        <r>
          <rPr>
            <b/>
            <sz val="9"/>
            <color indexed="81"/>
            <rFont val="Tahoma"/>
            <family val="2"/>
          </rPr>
          <t>Carmen Brufau:</t>
        </r>
        <r>
          <rPr>
            <sz val="9"/>
            <color indexed="81"/>
            <rFont val="Tahoma"/>
            <family val="2"/>
          </rPr>
          <t xml:space="preserve">
Antiguo</t>
        </r>
      </text>
    </comment>
    <comment ref="C261" authorId="2">
      <text>
        <r>
          <rPr>
            <b/>
            <sz val="9"/>
            <color indexed="81"/>
            <rFont val="Tahoma"/>
            <family val="2"/>
          </rPr>
          <t>NH-HOTEL-GROUP:</t>
        </r>
        <r>
          <rPr>
            <sz val="9"/>
            <color indexed="81"/>
            <rFont val="Tahoma"/>
            <family val="2"/>
          </rPr>
          <t xml:space="preserve">
NH Düsseldorf Königsallee.</t>
        </r>
      </text>
    </comment>
    <comment ref="C336" authorId="1">
      <text>
        <r>
          <rPr>
            <b/>
            <sz val="9"/>
            <color indexed="81"/>
            <rFont val="Tahoma"/>
            <family val="2"/>
          </rPr>
          <t>Carmen Brufau:</t>
        </r>
        <r>
          <rPr>
            <sz val="9"/>
            <color indexed="81"/>
            <rFont val="Tahoma"/>
            <family val="2"/>
          </rPr>
          <t xml:space="preserve">
Antiguo</t>
        </r>
      </text>
    </comment>
  </commentList>
</comments>
</file>

<file path=xl/sharedStrings.xml><?xml version="1.0" encoding="utf-8"?>
<sst xmlns="http://schemas.openxmlformats.org/spreadsheetml/2006/main" count="5456" uniqueCount="2635">
  <si>
    <t>NH Abascal</t>
  </si>
  <si>
    <t>NH Iruña Park</t>
  </si>
  <si>
    <t>NH Numancia</t>
  </si>
  <si>
    <t>NH Pirineos</t>
  </si>
  <si>
    <t>NH Liberdade</t>
  </si>
  <si>
    <t>NH Paseo del Prado</t>
  </si>
  <si>
    <t>NH Alberto Aguilera</t>
  </si>
  <si>
    <t>NH Palacio de Tepa</t>
  </si>
  <si>
    <t>NH Suites Prisma</t>
  </si>
  <si>
    <t>NH Argüelles</t>
  </si>
  <si>
    <t>NH Balboa</t>
  </si>
  <si>
    <t>NH Alcorcon</t>
  </si>
  <si>
    <t>NH Ciudad de Valladolid</t>
  </si>
  <si>
    <t>NH El Toro</t>
  </si>
  <si>
    <t>NH Alcalá</t>
  </si>
  <si>
    <t>NH Ciudad de Santander</t>
  </si>
  <si>
    <t>NH Luz Huelva</t>
  </si>
  <si>
    <t>NH Constanza</t>
  </si>
  <si>
    <t>NH Ribera del Manzanares</t>
  </si>
  <si>
    <t>NH Balago</t>
  </si>
  <si>
    <t>NH Sport</t>
  </si>
  <si>
    <t>NH La Habana</t>
  </si>
  <si>
    <t>NH Ciudad de Valencia</t>
  </si>
  <si>
    <t>NH Master</t>
  </si>
  <si>
    <t>NH Central Convenciones</t>
  </si>
  <si>
    <t>NH Principe de Vergara</t>
  </si>
  <si>
    <t>NH Amistad Murcia</t>
  </si>
  <si>
    <t>NH Amistad Córdoba</t>
  </si>
  <si>
    <t>NH Parque Avenidas</t>
  </si>
  <si>
    <t>NH Nacional</t>
  </si>
  <si>
    <t>NH Podium</t>
  </si>
  <si>
    <t>NH Diagonal Center</t>
  </si>
  <si>
    <t>NH Sanvy</t>
  </si>
  <si>
    <t>NH Center</t>
  </si>
  <si>
    <t>NH Las Tablas</t>
  </si>
  <si>
    <t>NH Palacio de Oquendo</t>
  </si>
  <si>
    <t>NH Herencia Rioja</t>
  </si>
  <si>
    <t>NH Logroño</t>
  </si>
  <si>
    <t>NH San Sebastian de los Reyes</t>
  </si>
  <si>
    <t>NH Pacifico</t>
  </si>
  <si>
    <t>NH Gran Hotel</t>
  </si>
  <si>
    <t>NH Sant Boi</t>
  </si>
  <si>
    <t>NH Cornella</t>
  </si>
  <si>
    <t>NH Canciller Ayala</t>
  </si>
  <si>
    <t>NH Atlántico</t>
  </si>
  <si>
    <t>NH Obradoiro</t>
  </si>
  <si>
    <t>NH Barajas</t>
  </si>
  <si>
    <t>NH Rallye</t>
  </si>
  <si>
    <t>NH Ciudad de Almeria</t>
  </si>
  <si>
    <t>NH Ciudad de Zaragoza</t>
  </si>
  <si>
    <t>NH Leganes</t>
  </si>
  <si>
    <t>NH Ciudad de la Imagen</t>
  </si>
  <si>
    <t>NH Cartagena</t>
  </si>
  <si>
    <t>NH Palacio de Ferrera</t>
  </si>
  <si>
    <t>NH Ciudad Real</t>
  </si>
  <si>
    <t>NH Ciudad de Cuenca</t>
  </si>
  <si>
    <t>NH Alicante</t>
  </si>
  <si>
    <t>NH Porta Barcelona</t>
  </si>
  <si>
    <t>NH La Maquinista</t>
  </si>
  <si>
    <t>NH Campo Grande</t>
  </si>
  <si>
    <t>NH Ciutat de Mataró</t>
  </si>
  <si>
    <t>NH Parla</t>
  </si>
  <si>
    <t>NH Mindoro</t>
  </si>
  <si>
    <t>NH Campo de Gibraltar</t>
  </si>
  <si>
    <t>NH Practico</t>
  </si>
  <si>
    <t>NH Cristal</t>
  </si>
  <si>
    <t>NH Plaza Mayor</t>
  </si>
  <si>
    <t>NH Les Corts</t>
  </si>
  <si>
    <t>NH Turcosa</t>
  </si>
  <si>
    <t>NH Sur</t>
  </si>
  <si>
    <t>NH Puerta de la Catedral</t>
  </si>
  <si>
    <t>NH Playa las Canteras</t>
  </si>
  <si>
    <t>NH Monterozas</t>
  </si>
  <si>
    <t>NH Ciutat de Vic</t>
  </si>
  <si>
    <t>Hotel</t>
  </si>
  <si>
    <t>Business Unit</t>
  </si>
  <si>
    <t>NH Berlin Friedrichstrasse</t>
  </si>
  <si>
    <t>NH Berlin-Mitte</t>
  </si>
  <si>
    <t>NH Berlin-Alexanderplatz</t>
  </si>
  <si>
    <t>NH Berlin Kurfürstendamm</t>
  </si>
  <si>
    <t>NH Berlin Potsdamer Platz</t>
  </si>
  <si>
    <t>NH Hamburg-City</t>
  </si>
  <si>
    <t>NH Düsseldorf City Nord</t>
  </si>
  <si>
    <t>NH Düsseldorf-City</t>
  </si>
  <si>
    <t>NH Düsseldorf City Center</t>
  </si>
  <si>
    <t>NH Frankfurt Messe</t>
  </si>
  <si>
    <t>NH Frankfurt City</t>
  </si>
  <si>
    <t>NH München Neue Messe</t>
  </si>
  <si>
    <t>NH München Deutscher Kaiser</t>
  </si>
  <si>
    <t>NH Atterseehaus Suites</t>
  </si>
  <si>
    <t>NH Köln - Mediapark</t>
  </si>
  <si>
    <t>NH Frankfurt Die Villa</t>
  </si>
  <si>
    <t>NH Wien</t>
  </si>
  <si>
    <t>NH Belvedere</t>
  </si>
  <si>
    <t>NH Berlin Frankfurter Allee</t>
  </si>
  <si>
    <t>NH Frankfurt Niederrad</t>
  </si>
  <si>
    <t>NH Frankfurt/Mörfelden</t>
  </si>
  <si>
    <t>NH Hamburg-Horn</t>
  </si>
  <si>
    <t>NH Hamburg - Altona</t>
  </si>
  <si>
    <t>NH München /Unterhaching</t>
  </si>
  <si>
    <t>NH München-Dornach</t>
  </si>
  <si>
    <t>NH München Am Ring</t>
  </si>
  <si>
    <t>NH Stuttgart /Sindelfingen</t>
  </si>
  <si>
    <t>NH Danube City</t>
  </si>
  <si>
    <t>NH Berlin-Treptow</t>
  </si>
  <si>
    <t>NH Berlin Heinrich Heine</t>
  </si>
  <si>
    <t>NH Frankfurt Airport</t>
  </si>
  <si>
    <t>NH München-Airport</t>
  </si>
  <si>
    <t>NH Stuttgart Airport</t>
  </si>
  <si>
    <t>NH Vienna Airport</t>
  </si>
  <si>
    <t>NH Berlin City West</t>
  </si>
  <si>
    <t>NH Köln-City</t>
  </si>
  <si>
    <t>NH Dortmund</t>
  </si>
  <si>
    <t>NH Dresden Altmarkt</t>
  </si>
  <si>
    <t>NH Fürth-Nürnberg</t>
  </si>
  <si>
    <t>NH Nürnberg-City</t>
  </si>
  <si>
    <t>NH Salzburg-City</t>
  </si>
  <si>
    <t>NH Rex</t>
  </si>
  <si>
    <t>NH Dresden</t>
  </si>
  <si>
    <t>NH Forsthaus Fürth-Nürnberg</t>
  </si>
  <si>
    <t>NH Geneva Airport</t>
  </si>
  <si>
    <t>NH Dessau</t>
  </si>
  <si>
    <t>NH Erlangen</t>
  </si>
  <si>
    <t>NH Heidelberg</t>
  </si>
  <si>
    <t>NH Aquarena Heidenheim</t>
  </si>
  <si>
    <t>NH Hirschberg/Heidelberg</t>
  </si>
  <si>
    <t>NH Ludwigsburg</t>
  </si>
  <si>
    <t>NH Voltaire Potsdam</t>
  </si>
  <si>
    <t>NH Timisoara</t>
  </si>
  <si>
    <t>NH Weinheim</t>
  </si>
  <si>
    <t>NH Klösterle Nördlingen</t>
  </si>
  <si>
    <t>NH Parkhotel Deggendorf</t>
  </si>
  <si>
    <t>NH Ambassador Ingolstadt</t>
  </si>
  <si>
    <t>NH Berlin / Potsdam</t>
  </si>
  <si>
    <t>NH Magdeburg</t>
  </si>
  <si>
    <t>NH Oberhausen</t>
  </si>
  <si>
    <t>NH Schwerin</t>
  </si>
  <si>
    <t>NH Zurich Airport</t>
  </si>
  <si>
    <t>NH Doelen</t>
  </si>
  <si>
    <t>NH Hotel du Grand Sablon</t>
  </si>
  <si>
    <t>NH Musica</t>
  </si>
  <si>
    <t>NH Museum Quarter</t>
  </si>
  <si>
    <t>NH City Centre Amsterdam</t>
  </si>
  <si>
    <t>NH Atlanta</t>
  </si>
  <si>
    <t>NH Kensington</t>
  </si>
  <si>
    <t>NH Galaxy</t>
  </si>
  <si>
    <t>NH Lyon Aeroport</t>
  </si>
  <si>
    <t>NH Utrecht</t>
  </si>
  <si>
    <t>NH Den Haag</t>
  </si>
  <si>
    <t>NH Maastricht</t>
  </si>
  <si>
    <t>NH Centre Utrecht</t>
  </si>
  <si>
    <t>NH Atlantic Den Haag</t>
  </si>
  <si>
    <t>NH Nice</t>
  </si>
  <si>
    <t>NH Luxembourg</t>
  </si>
  <si>
    <t>NH Amersfoort</t>
  </si>
  <si>
    <t>NH Rijnhotel</t>
  </si>
  <si>
    <t>NH Hotel de Ville</t>
  </si>
  <si>
    <t>NH Waalwijk</t>
  </si>
  <si>
    <t>NH Centro Historico</t>
  </si>
  <si>
    <t>NH Valle Dorado</t>
  </si>
  <si>
    <t>Hilton Aeropuerto</t>
  </si>
  <si>
    <t>NH Monterrey</t>
  </si>
  <si>
    <t>NH Barcelona Centro</t>
  </si>
  <si>
    <t>NH Leonardo da Vinci</t>
  </si>
  <si>
    <t>NH Midas</t>
  </si>
  <si>
    <t>NH Villa Carpegna</t>
  </si>
  <si>
    <t>NH Excelsior</t>
  </si>
  <si>
    <t>NH Savona Darsena</t>
  </si>
  <si>
    <t>NH Linate</t>
  </si>
  <si>
    <t>NH Porta Rossa</t>
  </si>
  <si>
    <t>NH Grand Hotel Palazzo</t>
  </si>
  <si>
    <t>NH Laguna Palace</t>
  </si>
  <si>
    <t>NHOW Milano</t>
  </si>
  <si>
    <t>NH Concordia</t>
  </si>
  <si>
    <t>NH Orio al Serio</t>
  </si>
  <si>
    <t>NH Grand Hotel Verdi</t>
  </si>
  <si>
    <t>NH Anglo American</t>
  </si>
  <si>
    <t>NH Giustiniano</t>
  </si>
  <si>
    <t>NH Mantegna</t>
  </si>
  <si>
    <t>NH Bergamo</t>
  </si>
  <si>
    <t>NH Bologna de la Gare</t>
  </si>
  <si>
    <t>NH Bologna Villanova</t>
  </si>
  <si>
    <t>NH Brescia</t>
  </si>
  <si>
    <t>NH Marina</t>
  </si>
  <si>
    <t>NH Pontevecchio</t>
  </si>
  <si>
    <t>NH Machiavelli</t>
  </si>
  <si>
    <t>NH President</t>
  </si>
  <si>
    <t>NH Milano Touring</t>
  </si>
  <si>
    <t>NH Ambassador</t>
  </si>
  <si>
    <t>NH Fiera</t>
  </si>
  <si>
    <t>NH Santa Giulia</t>
  </si>
  <si>
    <t>BU Central Europe</t>
  </si>
  <si>
    <t>BU Benelux, UK, AF, F</t>
  </si>
  <si>
    <t>BU Spain, Portugal &amp; Andorra</t>
  </si>
  <si>
    <t>BU Italy</t>
  </si>
  <si>
    <t>Date last addendum</t>
  </si>
  <si>
    <t>CPI update</t>
  </si>
  <si>
    <t>Fixed rent</t>
  </si>
  <si>
    <t>Minimun guaranteed</t>
  </si>
  <si>
    <t>Variable rent</t>
  </si>
  <si>
    <t>NH Amsterdam Centre</t>
  </si>
  <si>
    <t>NH Budapest City</t>
  </si>
  <si>
    <t>NH Caransa</t>
  </si>
  <si>
    <t>NH Hamburg Norge</t>
  </si>
  <si>
    <t>NH Parma</t>
  </si>
  <si>
    <t>NH Sampa</t>
  </si>
  <si>
    <t>NH Schiller</t>
  </si>
  <si>
    <t>NH The Five Curitiba</t>
  </si>
  <si>
    <t>NH The Lord Charles</t>
  </si>
  <si>
    <t>NHOW Berlin</t>
  </si>
  <si>
    <t>BU Americas</t>
  </si>
  <si>
    <t>NH Viapol</t>
  </si>
  <si>
    <t>NH Victoria</t>
  </si>
  <si>
    <t>NH Victoria Palace</t>
  </si>
  <si>
    <t>NH Villa de Bilbao</t>
  </si>
  <si>
    <t>Date end contract</t>
  </si>
  <si>
    <t>Addendum summary (rent or contract duration related)</t>
  </si>
  <si>
    <t>Previous year + CPI</t>
  </si>
  <si>
    <t>Fixed + Variable</t>
  </si>
  <si>
    <t xml:space="preserve">Fixed   </t>
  </si>
  <si>
    <t>Fixed</t>
  </si>
  <si>
    <t>n/a</t>
  </si>
  <si>
    <t>10% on turnover exceeding €2.415.000</t>
  </si>
  <si>
    <t>NH Milano 2 + Residence</t>
  </si>
  <si>
    <t xml:space="preserve">19% on total turnover </t>
  </si>
  <si>
    <t xml:space="preserve">20% on total turnover </t>
  </si>
  <si>
    <t>9 year automatic renewal if no notice 18 months before termination date. Rent: Fixed of €645.570 (1999-2001), €697.220 (2002), €800.510 (2003), €877.980 (2004), €877980 + 100% var. ISTAT (2005+). 2013: Fixed of: 1.053.000.</t>
  </si>
  <si>
    <t>25% on turnover exceeding €4.500.000</t>
  </si>
  <si>
    <t>VR on turnover: 4% under €3,5M, 5% between €3,5M-€3,75M and 6% between €3,75M-€4M.</t>
  </si>
  <si>
    <t>24% on total turnover + 5% on turnover exceeding €4M.</t>
  </si>
  <si>
    <t>25,5% of total turnover</t>
  </si>
  <si>
    <t>16% of total turnover</t>
  </si>
  <si>
    <t>VR of 23% of turnover / reduction to 20% (1st yr), 21% (2nd yr). Additional VR of 22% of EBITDA. +75% var. ISTAT (4th yr +).</t>
  </si>
  <si>
    <t>NH Palazzo Barocci</t>
  </si>
  <si>
    <t>VR of 0% up to €1.49 turnover, 19% from €1.5M-€1.99 turnover, 20% from €2M-€2.49 turnover, 22% €2.5M-€2.99 turnover, 24% exceeding €3M turnover.</t>
  </si>
  <si>
    <t>Withdrawal only after the first 9 years giving a 18 month notice, if no notice before termination date automatic renewal. Rent: VR of 25,5% of total turnover / €2.800.000 MG + 75 var. ISTAT. 1st and 2nd years discount of €450.000 annual - maintenance compensation.</t>
  </si>
  <si>
    <t>Status</t>
  </si>
  <si>
    <t>Request sent</t>
  </si>
  <si>
    <t>100% CPI price variation index</t>
  </si>
  <si>
    <t xml:space="preserve">Variable  </t>
  </si>
  <si>
    <t>30% ventas</t>
  </si>
  <si>
    <t>Previous year + 2%</t>
  </si>
  <si>
    <t>25% on turnover exceeding €4.750.000</t>
  </si>
  <si>
    <t>15% on turnover exceeding €4.750.000</t>
  </si>
  <si>
    <t>3% sobre ingresos netos totales superiores a €1.250.000</t>
  </si>
  <si>
    <t xml:space="preserve">4,5% sobre ingresos netos totales </t>
  </si>
  <si>
    <t xml:space="preserve">9,5% sobre ingresos netos totales </t>
  </si>
  <si>
    <t>Previous year + CPI acumulado 14-16</t>
  </si>
  <si>
    <t>2% sobre ingresos brutos</t>
  </si>
  <si>
    <t>3,5% sobre ingresos brutos</t>
  </si>
  <si>
    <t>Si facturación excede los €2.2M: 10% primeros €200k y 15% €200k en adelante.</t>
  </si>
  <si>
    <t>24% - 31% of sales, depending on sales volume (0 € - 3.300.001 € +) / +adjustment mechanism</t>
  </si>
  <si>
    <t xml:space="preserve">Modificacion renta pactada: sobre la facturación corregida sin IVA del año inmediatamente anterior, denominada facturación de referencia renta, se aplicará el "% of sales" acordado. Mecanismo de control: compará el incremento anual del RevPar del hotel con el incremento anual del RevPar de referencia. Control de facturación del hotel por conceptos distintos al de alojamiento (min. 17,5%, si no ajuste) en el supuesto de franquicia, subarriendo o cesión de la gestión. Reducción renta 2013 equivalente al importe del ultimo trimestre de ese ejercicio. Renta 2014: 447.600€. </t>
  </si>
  <si>
    <t>Renta 2012 +IPC (2013-2017)</t>
  </si>
  <si>
    <t>2,5% sobre ventas</t>
  </si>
  <si>
    <t>3% sobre ventas</t>
  </si>
  <si>
    <t>33,33% sobre ventas netas</t>
  </si>
  <si>
    <t>23% sobre ventas</t>
  </si>
  <si>
    <t>Si ventas &lt;1.700.000€: no RV; de 1.700.000€-1.850.000€: 5% sobre exceso de 1,7M€; de 1.850.000€ a 2.000.000€: 7.500€ + 7,5% sobre exceso de 1.850.000€; a partir de 2M€: 18.750€ + 10% sobre lo que exceda de 2M€.Dejará aplicarse cuando RF llegue a 560.000€</t>
  </si>
  <si>
    <t xml:space="preserve">Sobre ventas brutas anuales: 20% si éstas iguales o inferiores a 1.5M€; 30%, si éstas entre 1.5M€-2.7M€, en el tramo que exceda los 1.5M€; 40% sobre el importe superior a 2.7M€. </t>
  </si>
  <si>
    <t xml:space="preserve">Sobre ventas brutas anuales: 30% si estas iguales o inferiores a 3.3M€; 35%, si éstas entre 3.3M€-4M€, en el tramo que exceda los 3.3M€; 40% sobre el importe superior a 4M€. </t>
  </si>
  <si>
    <t xml:space="preserve">Sobre ventas brutas anuales: 25% si estas iguales o inferiores a 2M€; 28%, si éstas entre 2M€-2.2M€, en el tramo que exceda los 2M€; 30%, si éstas entre 2.2M€-2.6M€, en el tramo que exceda los 2.2M€; 50% sobre el importe superior a 2.6M€. </t>
  </si>
  <si>
    <t xml:space="preserve">Sobre ventas brutas anuales: 30% si éstas iguales o inferiores a 5M€; 35%, si éstas entre 5M€-6M€, en el tramo que exceda los 5M€; 40%, si éstas entre 6M€-7.5M€, en el tramo que exceda los 6M€;  50% sobre el importe superior a 7.5M€. </t>
  </si>
  <si>
    <t>RF: 1.141.883€ (2013), 1.028.000€ (2014), 1.056.000€ (2015), 1.085.000€ (2016), 2017: Si el IPC acumulado de 2013 a 2016 ≤ 4% = 1.175.000€ / anuales, si el IPC acumulado de 2013 a 2016 &gt; 4% = 1.175.000€ / anuales será revisada, adecuándose al IPC acumulado (13-16) con un descuento del 1%. 2018-2025: Renta abonada en 2017, revisándose anualmente según IPC.</t>
  </si>
  <si>
    <t>Si IPC acumulado 2013-2016 ≤ 4% = 1.175.000€ / anuales; si IPC acumulado 2013-2016 &gt; 4% = 1.175.000€ / anuales será revisada, adecuándose al IPC acumulado (13-16) con un descuento del 1%.</t>
  </si>
  <si>
    <t>30% sobre ventas</t>
  </si>
  <si>
    <t>844.038,08€ + IPC (2014-2015)</t>
  </si>
  <si>
    <t>To be completed at HQ</t>
  </si>
  <si>
    <t>Work sent to double check + doubts / Respuesta Eduardo Bosch (29/08/2014): revisará la información recibida con Mauro Vinci y nos responderá ASAP</t>
  </si>
  <si>
    <t>Request sent / Respuesta J. Lidia (31/08/2014): nos lo enviarán el lunes 1 de septiembre</t>
  </si>
  <si>
    <t>30% sobre ventas totales anuales + 10% ventas Gran Salón</t>
  </si>
  <si>
    <t>30% sobre ventas totales anuales + 10% ventas Gran Salón + 30% sobre beneficio neto generado por servicios prestados por terceros</t>
  </si>
  <si>
    <t>%</t>
  </si>
  <si>
    <t>Sales</t>
  </si>
  <si>
    <t>GOP</t>
  </si>
  <si>
    <t>EBITDA</t>
  </si>
  <si>
    <t>=</t>
  </si>
  <si>
    <t>F14YTD</t>
  </si>
  <si>
    <t>A14JUNYTD</t>
  </si>
  <si>
    <t>F14JUNYTD</t>
  </si>
  <si>
    <t>MRG 2014</t>
  </si>
  <si>
    <t>BDEC2014</t>
  </si>
  <si>
    <t>BJUL2014</t>
  </si>
  <si>
    <t>AJUL2014</t>
  </si>
  <si>
    <t>Variable</t>
  </si>
  <si>
    <t>NH ABASCAL</t>
  </si>
  <si>
    <t>RENTA</t>
  </si>
  <si>
    <t>IPC</t>
  </si>
  <si>
    <t>Fixed / MG</t>
  </si>
  <si>
    <t>Result</t>
  </si>
  <si>
    <t>NH IRUÑA PARK</t>
  </si>
  <si>
    <t>NH ATLÁNTICO</t>
  </si>
  <si>
    <t>R</t>
  </si>
  <si>
    <t>NH BARCELONA CENTRO</t>
  </si>
  <si>
    <t>Double check info received by HQ</t>
  </si>
  <si>
    <t>NH SUITES PRISMA</t>
  </si>
  <si>
    <t>RENTA FIJA</t>
  </si>
  <si>
    <t>RV</t>
  </si>
  <si>
    <t>RT</t>
  </si>
  <si>
    <t>2014*</t>
  </si>
  <si>
    <t>PRISMA</t>
  </si>
  <si>
    <t>NH PARQUE AVENIDAS</t>
  </si>
  <si>
    <t>NH ARGÜELLES - C013</t>
  </si>
  <si>
    <t>PRACTICO</t>
  </si>
  <si>
    <t>NH NACIONAL - C019E01</t>
  </si>
  <si>
    <t>NH ALBERTO AGUILERA - C022</t>
  </si>
  <si>
    <t>BALBOA</t>
  </si>
  <si>
    <t>NH PRÍNCIPE DE VERGARA</t>
  </si>
  <si>
    <t>SANVY</t>
  </si>
  <si>
    <t>LA HABANA</t>
  </si>
  <si>
    <t>ZURBANO</t>
  </si>
  <si>
    <t>SUR</t>
  </si>
  <si>
    <t>ALCALA</t>
  </si>
  <si>
    <t>NH BARAJAS - C152E20</t>
  </si>
  <si>
    <t>NH PACÍFICO</t>
  </si>
  <si>
    <t>NH RIBERA DEL MANZANARES - C371E20</t>
  </si>
  <si>
    <t>HOTEL &amp; FASHTAPAS PALACIO DE TEPA</t>
  </si>
  <si>
    <t>HOTEL &amp; FASHIONTAPAS PASEO DEL PRADO</t>
  </si>
  <si>
    <t>NH CIUDAD DE LA IMAGEN - C151E20</t>
  </si>
  <si>
    <t>NH SAN SEBASTIÁN DE LOS REYES</t>
  </si>
  <si>
    <t>NH ALCORCÓN</t>
  </si>
  <si>
    <t>NH PARLA - C323E20</t>
  </si>
  <si>
    <t>NH LAS TABLAS - C378E20</t>
  </si>
  <si>
    <t>CIUDAD DE VALLADOLID</t>
  </si>
  <si>
    <t>NH HERENCIA RIOJA - C124E12</t>
  </si>
  <si>
    <t>NH CIUDAD DE CUENCA</t>
  </si>
  <si>
    <t>NH LOGROÑO - C146E12</t>
  </si>
  <si>
    <t>NH PUERTA DE LA CATEDRAL</t>
  </si>
  <si>
    <t>NH VICTORIA PALACE - C287E20</t>
  </si>
  <si>
    <t>NH PLAZA MAYOR - C321E20</t>
  </si>
  <si>
    <t>NH BALAGO - C333E20</t>
  </si>
  <si>
    <t>CANCILLER AYALA</t>
  </si>
  <si>
    <t>NH ATLÁNTICO - C020</t>
  </si>
  <si>
    <t>NH PALACIO DE ORIOL - C086</t>
  </si>
  <si>
    <t>EL TORO</t>
  </si>
  <si>
    <t>CIUDAD DE SANTANDER</t>
  </si>
  <si>
    <t>NH VILLA DE BILBAO - C140</t>
  </si>
  <si>
    <t>PALACIO DE FERRERA</t>
  </si>
  <si>
    <t>NH OBRADOIRO - C319</t>
  </si>
  <si>
    <t>NH CIUDAD DE ALMERIA - C031E01</t>
  </si>
  <si>
    <t>LUZ DE HUELVA</t>
  </si>
  <si>
    <t>NH PLAYA LAS CANTERAS - C118E06</t>
  </si>
  <si>
    <t>NH CIUDAD REAL</t>
  </si>
  <si>
    <t>AMISTAD DE MURCIA</t>
  </si>
  <si>
    <t>AMISTAD DE CORDOBA</t>
  </si>
  <si>
    <t>NH CARTAGENA - C303</t>
  </si>
  <si>
    <t>VICTORIA</t>
  </si>
  <si>
    <t>NH PALACIO DE OQUENDO - C376E20</t>
  </si>
  <si>
    <t>NH LIBERDADE - C099P01</t>
  </si>
  <si>
    <t>NH CAMPO GRANDE - C334P01</t>
  </si>
  <si>
    <t>VIAPOL</t>
  </si>
  <si>
    <t>CENTRAL CONVENCIONES - C035</t>
  </si>
  <si>
    <t>CIUDAD DE ZARAGOZA</t>
  </si>
  <si>
    <t>NH GRAN HOTEL</t>
  </si>
  <si>
    <t>NH CRISTAL</t>
  </si>
  <si>
    <t>NH TURCOSA - C021E20</t>
  </si>
  <si>
    <t>NH MINDORO - C093</t>
  </si>
  <si>
    <t>NH PIRINEOS - C132</t>
  </si>
  <si>
    <t>NH CIUTAT DE VIC - C220E20</t>
  </si>
  <si>
    <t>NH ALICANTE - C322</t>
  </si>
  <si>
    <t>CORNELLA</t>
  </si>
  <si>
    <t>MASTER</t>
  </si>
  <si>
    <t>NH LA MAQUINISTA - C088E20</t>
  </si>
  <si>
    <t>NH LES CORTS - C104</t>
  </si>
  <si>
    <t>NH NUMANCIA</t>
  </si>
  <si>
    <t>NH RALLYE</t>
  </si>
  <si>
    <t>FORUM</t>
  </si>
  <si>
    <t>NH DIAGONAL CENTER - C165E03</t>
  </si>
  <si>
    <t>NH PORTA BARCELONA</t>
  </si>
  <si>
    <t>NH SANT BOI - C317E20</t>
  </si>
  <si>
    <t>NH CONSTANZA - C327</t>
  </si>
  <si>
    <t>CENTER</t>
  </si>
  <si>
    <t>LAS ARTES</t>
  </si>
  <si>
    <t>EXPRESS LAS ARTES</t>
  </si>
  <si>
    <t>CIUDAD DE VALENCIA</t>
  </si>
  <si>
    <t>EMBAJADA</t>
  </si>
  <si>
    <t>NH ABASCAL - C018</t>
  </si>
  <si>
    <t>NH IRUNA PARK</t>
  </si>
  <si>
    <t>TOTAL REVENUE</t>
  </si>
  <si>
    <t>ROOMS REVENUE</t>
  </si>
  <si>
    <t>GROSS OPERATING PROFIT</t>
  </si>
  <si>
    <t>ROOM NIGHTS PRODUCED</t>
  </si>
  <si>
    <t>AVAILABLE ROOMS</t>
  </si>
  <si>
    <t>DIRECT OPERATIONAL EXPENSES</t>
  </si>
  <si>
    <t>TOTAL</t>
  </si>
  <si>
    <t>Khalix Name</t>
  </si>
  <si>
    <t>NH BERLIN FRIEDRICHSTRASSE - C772G10</t>
  </si>
  <si>
    <t>NH BERLIN MITTE - C190G01</t>
  </si>
  <si>
    <t>NH BERLIN ALEXANDERPLATZ - C189G01</t>
  </si>
  <si>
    <t>NH BERLIN KURFUERSTENDAMM - C198G01</t>
  </si>
  <si>
    <t>NH BERLIN POTZDAMER PLATZ - C442G03</t>
  </si>
  <si>
    <t>NH HAMBURG CITY - C260G01</t>
  </si>
  <si>
    <t>NH BUCHAREST - C329R01</t>
  </si>
  <si>
    <t>NH Bucharest</t>
  </si>
  <si>
    <t>NH BUDAPEST CITY - C291H01</t>
  </si>
  <si>
    <t>NH Budapest</t>
  </si>
  <si>
    <t>NH DUESSELDORF CITY NORD - C239G01</t>
  </si>
  <si>
    <t>NH DUESSELDORF CITY - C181G01</t>
  </si>
  <si>
    <t>NH EDEN</t>
  </si>
  <si>
    <t>NH FRANKFURT MESSE - C460G03</t>
  </si>
  <si>
    <t>NH FRANKFURT CITY - C290G01</t>
  </si>
  <si>
    <t>NH MUENCHEN NEUE MESSE - C272G01</t>
  </si>
  <si>
    <t>NH MUENCHEN DEUTSCHER KAISER - C271G01</t>
  </si>
  <si>
    <t>NH PRAGUE - C469T03</t>
  </si>
  <si>
    <t xml:space="preserve">NH Prague </t>
  </si>
  <si>
    <t>NH ATTERSEEHAUS - C410O01</t>
  </si>
  <si>
    <t>NH KOELN MEDIAPARK - C773G10</t>
  </si>
  <si>
    <t>NH DIE VILLA FRANKFURT MESSE - C186G01</t>
  </si>
  <si>
    <t>NH WIEN - C415O01</t>
  </si>
  <si>
    <t>NH BELVEDERE - C411O01</t>
  </si>
  <si>
    <t>NH BERLIN FRANKFURTER ALLEE - C256G01</t>
  </si>
  <si>
    <t>NH FRANKFURT RHEIN-MAIN - C188G01</t>
  </si>
  <si>
    <t>NH Frankfurt Rhein - Main</t>
  </si>
  <si>
    <t>NH FRANKFURT NIEDERRAD</t>
  </si>
  <si>
    <t>NH FRANKFURT MOERFELDEN - C257G01</t>
  </si>
  <si>
    <t>NH HAMBURG HORN - C261G01</t>
  </si>
  <si>
    <t>NH HAMBURG ALTONA - C262G01</t>
  </si>
  <si>
    <t>NH HAMBURG MITTE - C255G01</t>
  </si>
  <si>
    <t xml:space="preserve">NH Hamburg Mitte </t>
  </si>
  <si>
    <t>NH MUENCHEN UNTERHACHING - C273G01</t>
  </si>
  <si>
    <t>NH MUENCHEN DORNACH - C183G01</t>
  </si>
  <si>
    <t>NH MUENCHEN AM RING - C274G01</t>
  </si>
  <si>
    <t>NH STUTTGART SINDELFINGEN - C280G01</t>
  </si>
  <si>
    <t>NH DANUBE CITY</t>
  </si>
  <si>
    <t>NHOW BERLIN - C458G01</t>
  </si>
  <si>
    <t>Nhow Berlin</t>
  </si>
  <si>
    <t>NH BERLIN TREPTOW - C192G01</t>
  </si>
  <si>
    <t>NH BERLIN HEINRICH HEINE - C193G01</t>
  </si>
  <si>
    <t>NH FRANKFURT AIRPORT - C187G01</t>
  </si>
  <si>
    <t>NH MUENCHEN AIRPORT - C270G01</t>
  </si>
  <si>
    <t>NH STUTTGART AIRPORT - C281G01</t>
  </si>
  <si>
    <t>NH VIENNA AIRPORT - C414O01</t>
  </si>
  <si>
    <t>NH BERLIN CITY WEST - C337G01</t>
  </si>
  <si>
    <t>NH KOELN CITY - C185G01</t>
  </si>
  <si>
    <t>NH DORTMUND - C182G01</t>
  </si>
  <si>
    <t>NH DRESDEN ALTMARKT - C443G02</t>
  </si>
  <si>
    <t>NH FUERTH NUERNBERG - C276G01</t>
  </si>
  <si>
    <t>NH NUERNBERG CITY - C325G01</t>
  </si>
  <si>
    <t>NH POZNAN - C347X01</t>
  </si>
  <si>
    <t>NH Poznan</t>
  </si>
  <si>
    <t>NH SALZBURG-CITY - C413O01</t>
  </si>
  <si>
    <t>NH REX - C254S04</t>
  </si>
  <si>
    <t>NH DRESDEN - C237G01</t>
  </si>
  <si>
    <t>NH LEIPZIG MESSE - C268G01</t>
  </si>
  <si>
    <t>NH Leipzig Messe</t>
  </si>
  <si>
    <t>NH FORSTHAUS FUERTH NUERNBERG - C277G01</t>
  </si>
  <si>
    <t>NH GENEVA - C178</t>
  </si>
  <si>
    <t>NH BINGEN - C194G01</t>
  </si>
  <si>
    <t>NH Bingen</t>
  </si>
  <si>
    <t>NH DESSAU - C197G01</t>
  </si>
  <si>
    <t>NH ERLANGEN - C252G01</t>
  </si>
  <si>
    <t>NH HEIDELBERG - C263G01</t>
  </si>
  <si>
    <t>NH AQUARENA HEIDENHEIM - C264G01</t>
  </si>
  <si>
    <t>NH HIRSCHBERG HEIDELBERG - C265G01</t>
  </si>
  <si>
    <t>NH LUDWIGSBURG - C457G01</t>
  </si>
  <si>
    <t>NH VOLTAIRE POTSDAM - C278G01</t>
  </si>
  <si>
    <t>NH TIMISOARA - C330R02</t>
  </si>
  <si>
    <t>NH WEINHEIM - C283G01</t>
  </si>
  <si>
    <t>NH FRIBOURG - C176S04</t>
  </si>
  <si>
    <t>NH Fribourg</t>
  </si>
  <si>
    <t>NH KLOESTERLE NOERDLINGEN - C275G01</t>
  </si>
  <si>
    <t>NH GATE ONE - C363SK01</t>
  </si>
  <si>
    <t>NH Gate One</t>
  </si>
  <si>
    <t>NH PARKHOTEL DEGGENDORF - C195G01</t>
  </si>
  <si>
    <t>NH AMBASSADOR INGOLSTADT - C266G01</t>
  </si>
  <si>
    <t>NH BERLIN POTSDAM - C191G01</t>
  </si>
  <si>
    <t>NH MAGDEBURG - C269G01</t>
  </si>
  <si>
    <t>NH OBERHAUSEN - C184G01</t>
  </si>
  <si>
    <t>NH OLOMOUC CONGRESS - C451T02</t>
  </si>
  <si>
    <t>NH Olomouc Congress</t>
  </si>
  <si>
    <t>NH SCHWERIN - C279G01</t>
  </si>
  <si>
    <t>NH MANNHEIM VIERNHEIM - C282G01</t>
  </si>
  <si>
    <t>NH Mannheim Viernheim</t>
  </si>
  <si>
    <t>NH AUKAMM WIESBADEN - C285G01</t>
  </si>
  <si>
    <t>NH Aukamm Wiesbaden</t>
  </si>
  <si>
    <t>NH ZURICH AIRPORT</t>
  </si>
  <si>
    <t>NH BARBIZON PALACE - C216N20</t>
  </si>
  <si>
    <t>NH Barbizon Palace</t>
  </si>
  <si>
    <t>NH DOELEN - C211N44</t>
  </si>
  <si>
    <t>TOTAL SCHILLER &amp; CARANSA</t>
  </si>
  <si>
    <t>NH Schiller + Caransa</t>
  </si>
  <si>
    <t>NH SCHIPHOL AIRPORT - C217N32</t>
  </si>
  <si>
    <t>NH Schiphol Airport</t>
  </si>
  <si>
    <t>NH HOTEL DU GRAND SABLON - C760B16</t>
  </si>
  <si>
    <t>NH GRAND HOTEL KRASNAPOLSKY - C218N67</t>
  </si>
  <si>
    <t>NH Grand Hotel Krasnapolsky</t>
  </si>
  <si>
    <t>NH MUSICA - C372N40</t>
  </si>
  <si>
    <t>NH CARLTON AMSTERDAM - C759N83</t>
  </si>
  <si>
    <t>NH Carlton Amsterdam</t>
  </si>
  <si>
    <t>NH AMSTERDAM CENTRE - C215N30</t>
  </si>
  <si>
    <t>NH TROPEN - C212N80</t>
  </si>
  <si>
    <t>NH Tropen</t>
  </si>
  <si>
    <t>NH MUSEUM QUARTER - C213N34</t>
  </si>
  <si>
    <t>NH CITY CENTRE AMSTERDAM - C214N60</t>
  </si>
  <si>
    <t>NH STEPHANIE - C201B07</t>
  </si>
  <si>
    <t>NH Stéphanie</t>
  </si>
  <si>
    <t>NH GRAND PLACE ARENBERG - C204B05</t>
  </si>
  <si>
    <t>NH Grand Place Arenberg</t>
  </si>
  <si>
    <t>NH BRUSSELS CITY CENTRE - C202B06</t>
  </si>
  <si>
    <t>NH Brussels City Centre</t>
  </si>
  <si>
    <t>NH ATLANTA BRUSSELS - C242B02</t>
  </si>
  <si>
    <t>NH HARRINGTON HALL - C750K10</t>
  </si>
  <si>
    <t>NH Harrington Hall</t>
  </si>
  <si>
    <t>NH KENSINGTON - C751K16</t>
  </si>
  <si>
    <t>NH GALAXY - C208N47</t>
  </si>
  <si>
    <t>NH BRUSSELS AIRPORT - C203B15</t>
  </si>
  <si>
    <t>NH Brussels Airport</t>
  </si>
  <si>
    <t>NH LYON AEROPORT - C758F10</t>
  </si>
  <si>
    <t>NH UTRECHT - C221N46</t>
  </si>
  <si>
    <t>NH CAPELLE - C244N33</t>
  </si>
  <si>
    <t>NH Capelle</t>
  </si>
  <si>
    <t>NH DEN HAAG - C315N39</t>
  </si>
  <si>
    <t>NH GENT SINT PIETERS - C407B13</t>
  </si>
  <si>
    <t>NH Gent Sint Pieters</t>
  </si>
  <si>
    <t>NH GENT BELFORT - C345B09</t>
  </si>
  <si>
    <t>NH Gent Belfort</t>
  </si>
  <si>
    <t>NH MAASTRICHT - C243N31</t>
  </si>
  <si>
    <t>NH ATLANTA ROTTERDAM - C235N38</t>
  </si>
  <si>
    <t>NH Atlanta Rotterdam</t>
  </si>
  <si>
    <t>NH CENTRE UTRECHT - C234N61</t>
  </si>
  <si>
    <t>NH ATLANTIC DEN HAAG - C375N18</t>
  </si>
  <si>
    <t>THE LORD CHARLES - C426W01</t>
  </si>
  <si>
    <t>The Lord Charles</t>
  </si>
  <si>
    <t>NH BEST - C246N62</t>
  </si>
  <si>
    <t>NH Best</t>
  </si>
  <si>
    <t>NH NICE - C753F10</t>
  </si>
  <si>
    <t>NH ZOETERMEER - C232N36</t>
  </si>
  <si>
    <t>NH Zoetermeer</t>
  </si>
  <si>
    <t>NH LUXEMBOURG - C339L16</t>
  </si>
  <si>
    <t>NH MECHELEN - C408B12</t>
  </si>
  <si>
    <t>NH Mechelen</t>
  </si>
  <si>
    <t>AMERSFOORT - C662N96</t>
  </si>
  <si>
    <t>NH RIJNHOTEL - C247N21</t>
  </si>
  <si>
    <t>NH BRUGGE - C346B10</t>
  </si>
  <si>
    <t>NH Brugge</t>
  </si>
  <si>
    <t>NH GRONINGEN - C200N64</t>
  </si>
  <si>
    <t>NH Groningen</t>
  </si>
  <si>
    <t>NH HOTEL DE VILLE - C250N65</t>
  </si>
  <si>
    <t>NH NAARDEN - C219N63</t>
  </si>
  <si>
    <t>NH Naarden</t>
  </si>
  <si>
    <t>NH WAALWIJK - C340N82</t>
  </si>
  <si>
    <t>NH JAN TABAK - C207N51</t>
  </si>
  <si>
    <t>NH Jan Tabak</t>
  </si>
  <si>
    <t>NH GELDROP - C245N22</t>
  </si>
  <si>
    <t>NH Geldrop</t>
  </si>
  <si>
    <t>NH MARQUETTE - C241N50</t>
  </si>
  <si>
    <t>NH Marquette</t>
  </si>
  <si>
    <t>NH CONF. CENTRE LEEUWENHORST - C949N49</t>
  </si>
  <si>
    <t>NH Conference Centre Leeuwenhorst</t>
  </si>
  <si>
    <t>NH SPARRENHORST - C660N66</t>
  </si>
  <si>
    <t>NH Conference Centre Sparrenhorst</t>
  </si>
  <si>
    <t>NH CONF. CENTRE KONINGSHOF - C948N48</t>
  </si>
  <si>
    <t>NH Conference Centre Koningshof</t>
  </si>
  <si>
    <t>NH ZANDVOORT - C222N35</t>
  </si>
  <si>
    <t>NH Zandvoort</t>
  </si>
  <si>
    <t>NH PLETTENBERG BAY - C036W02</t>
  </si>
  <si>
    <t>NH Plettenberg Bay</t>
  </si>
  <si>
    <t>NH CITY &amp; TOWER - C168A04</t>
  </si>
  <si>
    <t>NH City &amp; Tower</t>
  </si>
  <si>
    <t>NH GUADALAJARA - C384M48</t>
  </si>
  <si>
    <t>NH Guadalajara</t>
  </si>
  <si>
    <t>JOLLY HOTEL MADISON TOWERS - C774J10</t>
  </si>
  <si>
    <t>Jolly Hotel Madison Towers</t>
  </si>
  <si>
    <t>FLORIDA</t>
  </si>
  <si>
    <t>NH Florida</t>
  </si>
  <si>
    <t>NH 9 DE JULIO - C435A08</t>
  </si>
  <si>
    <t>NH 9 de Julio</t>
  </si>
  <si>
    <t>NH TANGO - C433A07</t>
  </si>
  <si>
    <t>NH Tango</t>
  </si>
  <si>
    <t>NH CRILLON - C430A05</t>
  </si>
  <si>
    <t>NH Crillon</t>
  </si>
  <si>
    <t>NH LANCASTER - C432A06</t>
  </si>
  <si>
    <t>NH Lancaster</t>
  </si>
  <si>
    <t>NH JOUSTEN - C161A01</t>
  </si>
  <si>
    <t>NH Jousten</t>
  </si>
  <si>
    <t>NH LATINO - C162A01</t>
  </si>
  <si>
    <t>NH Latino</t>
  </si>
  <si>
    <t>NH PANORAMA</t>
  </si>
  <si>
    <t>NH Panorama</t>
  </si>
  <si>
    <t>NH URBANO</t>
  </si>
  <si>
    <t>NH Urbano</t>
  </si>
  <si>
    <t>NH SANTA FE - C332M39</t>
  </si>
  <si>
    <t>NH Santa Fe</t>
  </si>
  <si>
    <t>NH MEXICO CITY - C074M10</t>
  </si>
  <si>
    <t>NH Mexico City</t>
  </si>
  <si>
    <t>NH CENTRO HISTORICO - C652M02</t>
  </si>
  <si>
    <t>NH COLUMBIA - C167U02</t>
  </si>
  <si>
    <t>NH Columbia</t>
  </si>
  <si>
    <t>NH CIUDAD DE SANTIAGO - C166C02</t>
  </si>
  <si>
    <t>NH Ciudad de Santiago</t>
  </si>
  <si>
    <t>NH Bogotá 93</t>
  </si>
  <si>
    <t>NH VALLE DORADO - C649M22</t>
  </si>
  <si>
    <t>NH AEROPUERTO T2 MEXICO - C380M47</t>
  </si>
  <si>
    <t>NH Aeropuerto T2 Mexico</t>
  </si>
  <si>
    <t>TOTAL HOTEL AEROPUERTO</t>
  </si>
  <si>
    <t>Hesperia Isla Margarita</t>
  </si>
  <si>
    <t>NH PROVINCIAL - C436A09</t>
  </si>
  <si>
    <t>NH Gran Hotel Provincial</t>
  </si>
  <si>
    <t>Hesperia Playa El Agua</t>
  </si>
  <si>
    <t>NH CORDILLERA - C169A01</t>
  </si>
  <si>
    <t>NH Cordillera</t>
  </si>
  <si>
    <t>NH PUEBLA</t>
  </si>
  <si>
    <t>NH Puebla</t>
  </si>
  <si>
    <t>QUERETARO - C655M41</t>
  </si>
  <si>
    <t>NH Queretaro</t>
  </si>
  <si>
    <t>NO SALE  EN KHALIX</t>
  </si>
  <si>
    <t>NH Veracruz</t>
  </si>
  <si>
    <t>Hesperia WTC Valencia</t>
  </si>
  <si>
    <t>NH MONTERREY - C659M14</t>
  </si>
  <si>
    <t>NH COATZACOALCOS - C076M06</t>
  </si>
  <si>
    <t>NH Coatzacoalcos</t>
  </si>
  <si>
    <t>NH LÁZARO CÁRDENAS - C079M08</t>
  </si>
  <si>
    <t>NH Lazaro Cardenas</t>
  </si>
  <si>
    <t>NH PUNTA CANA - C497D01</t>
  </si>
  <si>
    <t>NH Punta Cana</t>
  </si>
  <si>
    <t>Secrets Royal Beach Punta Cana</t>
  </si>
  <si>
    <t>Now Larimar Punta Cana</t>
  </si>
  <si>
    <t>EUROBUILDING</t>
  </si>
  <si>
    <t>NH Eurobuilding</t>
  </si>
  <si>
    <t>CALDERON</t>
  </si>
  <si>
    <t>NH Calderón</t>
  </si>
  <si>
    <t>NH Zurbano</t>
  </si>
  <si>
    <t>NH ARANZAZU</t>
  </si>
  <si>
    <t>NH Aranzazu</t>
  </si>
  <si>
    <t>NH LAGASCA - C122E11</t>
  </si>
  <si>
    <t>NH Lagasca</t>
  </si>
  <si>
    <t>NH PALACIO DE CASTELLANOS</t>
  </si>
  <si>
    <t>NH Palacio de Castellanos</t>
  </si>
  <si>
    <t>NH IMPERIAL PLAYA - C117E06</t>
  </si>
  <si>
    <t>NH Imperial Playa</t>
  </si>
  <si>
    <t>NH PLAZA DE ARMAS - C014E01</t>
  </si>
  <si>
    <t>NH Plaza de Armas</t>
  </si>
  <si>
    <t>NH PRINCIPE DE LA PAZ - C301E29</t>
  </si>
  <si>
    <t>NH Principe de la Paz</t>
  </si>
  <si>
    <t>HH MADRID - C542EE16</t>
  </si>
  <si>
    <t>Hesperia Madrid</t>
  </si>
  <si>
    <t>BELAGUA</t>
  </si>
  <si>
    <t>NH Belagua</t>
  </si>
  <si>
    <t>HH DEL MAR - C537EE13</t>
  </si>
  <si>
    <t>Hesperia del Mar</t>
  </si>
  <si>
    <t>HH PRESIDENTE - C528EE09</t>
  </si>
  <si>
    <t>Hesperia Presidente</t>
  </si>
  <si>
    <t>NH PÓDIUM - C121E03</t>
  </si>
  <si>
    <t>HH DEL PORT - C538EE13</t>
  </si>
  <si>
    <t>Hesperia del Port</t>
  </si>
  <si>
    <t>HH METROPOL - C548EE20</t>
  </si>
  <si>
    <t>Hesperia Metropol</t>
  </si>
  <si>
    <t>HH RAMBLAS - C545EE18</t>
  </si>
  <si>
    <t>Hesperia Ramblas</t>
  </si>
  <si>
    <t>BRETON</t>
  </si>
  <si>
    <t>NH Bretón</t>
  </si>
  <si>
    <t>HH EMPERATRIZ - C541EE16</t>
  </si>
  <si>
    <t>Hesperia Emperatriz</t>
  </si>
  <si>
    <t>NH Embajada</t>
  </si>
  <si>
    <t>HH HERMOSILLA - C527EE09</t>
  </si>
  <si>
    <t>Hesperia Hermosilla</t>
  </si>
  <si>
    <t>NH Forum</t>
  </si>
  <si>
    <t>HH SANT JOAN - C529EE09</t>
  </si>
  <si>
    <t>Hesperia Sant Joan</t>
  </si>
  <si>
    <t>NH LEGANÉS - C145E20</t>
  </si>
  <si>
    <t>NH MONTE ROZAS - C097E20</t>
  </si>
  <si>
    <t>HH TOWER - C530EE09</t>
  </si>
  <si>
    <t>Hesperia Tower</t>
  </si>
  <si>
    <t>HH SANT JUST - C560EE24</t>
  </si>
  <si>
    <t>Hesperia Sant Just</t>
  </si>
  <si>
    <t>HH FIRA SUITES - C531EE09</t>
  </si>
  <si>
    <t>Hesperia Fira Suites</t>
  </si>
  <si>
    <t>VILLA DE COSLADA</t>
  </si>
  <si>
    <t>NH Villa de Coslada</t>
  </si>
  <si>
    <t>HH GETAFE - C525EE09</t>
  </si>
  <si>
    <t>Hesperia Getafe</t>
  </si>
  <si>
    <t>NH ARAVACA APARTHOTEL - C155E52</t>
  </si>
  <si>
    <t>NH Aravaca Aparthotel</t>
  </si>
  <si>
    <t>NH LA FLORIDA APARTHOTEL - C154E52</t>
  </si>
  <si>
    <t>NH La Florida Aparthotel</t>
  </si>
  <si>
    <t>NH LAS ROZAS APARTHOTEL - C153E52</t>
  </si>
  <si>
    <t>NH Las Rozas Aparthotel</t>
  </si>
  <si>
    <t>NH Las Artes II</t>
  </si>
  <si>
    <t>NH INGLATERRA - C009E01</t>
  </si>
  <si>
    <t>NH Inglaterra</t>
  </si>
  <si>
    <t>NH GRAN H. CASINO EXTREMADURA - C331E71</t>
  </si>
  <si>
    <t>NH Grand Hotel Casino de Extremadura</t>
  </si>
  <si>
    <t>HH ZUBIALDE - C559EE23</t>
  </si>
  <si>
    <t>Hesperia Zubialde</t>
  </si>
  <si>
    <t>HH BILBAO - C557EE22</t>
  </si>
  <si>
    <t>Hesperia Bilbao</t>
  </si>
  <si>
    <t>HH GRANADA - C526EE09</t>
  </si>
  <si>
    <t>Hesperia Granada</t>
  </si>
  <si>
    <t>MALAGA</t>
  </si>
  <si>
    <t>NH Malaga</t>
  </si>
  <si>
    <t>HH CIUTAT MALLORCA - C520EE05</t>
  </si>
  <si>
    <t>Hesperia Ciutat Mallorca</t>
  </si>
  <si>
    <t>NH TENERIFE - C170E34</t>
  </si>
  <si>
    <t>NH Tenerife</t>
  </si>
  <si>
    <t>NH Las Artes</t>
  </si>
  <si>
    <t>HH ZARAGOZA - C539EE14</t>
  </si>
  <si>
    <t>Hesperia Zaragoza</t>
  </si>
  <si>
    <t>HH ANDORRA LA VELLA - C577EE01</t>
  </si>
  <si>
    <t>Hesperia Andorra La Vella</t>
  </si>
  <si>
    <t>NH DEUSTO - C126E48</t>
  </si>
  <si>
    <t>NH Deusto</t>
  </si>
  <si>
    <t>HH SEVILLA - C533EE10</t>
  </si>
  <si>
    <t>Hesperia Sevilla</t>
  </si>
  <si>
    <t>VILLACARLOS</t>
  </si>
  <si>
    <t>NH Villacarlos</t>
  </si>
  <si>
    <t>NH SAN PEDRO - C147E54</t>
  </si>
  <si>
    <t>NH San Pedro de Alcántara</t>
  </si>
  <si>
    <t>NH SANTANDER PARAYAS - C029E20</t>
  </si>
  <si>
    <t>NH Santander Parayas</t>
  </si>
  <si>
    <t>ALANDA</t>
  </si>
  <si>
    <t>NH Alanda</t>
  </si>
  <si>
    <t>HH VILLAMIL - C547EE19</t>
  </si>
  <si>
    <t>Hesperia Villamil</t>
  </si>
  <si>
    <t>NH MARBELLA - C130E56</t>
  </si>
  <si>
    <t>NH Marbella</t>
  </si>
  <si>
    <t>NH PUERTO DE SAGUNTO - C342E20</t>
  </si>
  <si>
    <t>NH Puerto de Sagunto</t>
  </si>
  <si>
    <t>NH JARDINES DEL TURIA - C026E53</t>
  </si>
  <si>
    <t>NH Jardines del Turia</t>
  </si>
  <si>
    <t>NH CAMPO CARTAGENA - C581E20</t>
  </si>
  <si>
    <t>NH Campo Cartagena</t>
  </si>
  <si>
    <t>NH CALIFA - C032</t>
  </si>
  <si>
    <t>NH Califa</t>
  </si>
  <si>
    <t>NH PALACIO DE LA MERCED - C149E21</t>
  </si>
  <si>
    <t>NH Palacio de la Merced</t>
  </si>
  <si>
    <t>HH FINISTERRE - C552EE21</t>
  </si>
  <si>
    <t>Hesperia Finisterre</t>
  </si>
  <si>
    <t>NH PALACIO DE SANTA MARTA - C033E66</t>
  </si>
  <si>
    <t>NH Palacio de Santa Marta</t>
  </si>
  <si>
    <t>NH PALACIO DE VIGO - C143E50</t>
  </si>
  <si>
    <t>NH Palacio de Vigo</t>
  </si>
  <si>
    <t>HH BRISTOL PLAYA - C521EE06</t>
  </si>
  <si>
    <t>Hesperia Bristol Playa</t>
  </si>
  <si>
    <t>HH PLAYAS DE MALLORCA - C546EE19</t>
  </si>
  <si>
    <t>Hesperia Playas de Mallorca</t>
  </si>
  <si>
    <t>NH CIUTAT DE MATARÓ - C108E10</t>
  </si>
  <si>
    <t>HH CÓRDOBA - C523EE08</t>
  </si>
  <si>
    <t>Hesperia Córdoba</t>
  </si>
  <si>
    <t>NH GIJON - C440E82</t>
  </si>
  <si>
    <t>NH Gijon</t>
  </si>
  <si>
    <t>NH AVENIDA JEREZ</t>
  </si>
  <si>
    <t>NH Avenida Jerez</t>
  </si>
  <si>
    <t>HH A CORUÑA - C549EE21</t>
  </si>
  <si>
    <t>Hesperia A Coruña</t>
  </si>
  <si>
    <t>NH LA AVANZADA - C441E83</t>
  </si>
  <si>
    <t>NH La Avanzada</t>
  </si>
  <si>
    <t>NH RINCÓN DE PEPE - C084E46</t>
  </si>
  <si>
    <t>NH Rincon de Pepe</t>
  </si>
  <si>
    <t>NH OURENSE - C468E88</t>
  </si>
  <si>
    <t>NH Ourense</t>
  </si>
  <si>
    <t>NH PRINCIPADO - C125E49</t>
  </si>
  <si>
    <t>NH Principado</t>
  </si>
  <si>
    <t>HH DONOSTI - C524EE09</t>
  </si>
  <si>
    <t>Hesperia Donosti</t>
  </si>
  <si>
    <t>HH TOLEDO - C558EE23</t>
  </si>
  <si>
    <t>Hesperia Toledo</t>
  </si>
  <si>
    <t>HH VIGO - C556EE21</t>
  </si>
  <si>
    <t>Hesperia Vigo</t>
  </si>
  <si>
    <t>NH PALACIO DEL DUERO - C148E45</t>
  </si>
  <si>
    <t>NH Palacio del Duero</t>
  </si>
  <si>
    <t>NH CASTELLAR - C463E87</t>
  </si>
  <si>
    <t>NH Castellar</t>
  </si>
  <si>
    <t>HH FERROL - C551EE21</t>
  </si>
  <si>
    <t>Hesperia Ferrol</t>
  </si>
  <si>
    <t>HH MURCIA - C540EE15</t>
  </si>
  <si>
    <t>Hesperia Murcia</t>
  </si>
  <si>
    <t>HH PEREGRINO - C555EE21</t>
  </si>
  <si>
    <t>Hesperia Peregrino</t>
  </si>
  <si>
    <t>NH ALBAR</t>
  </si>
  <si>
    <t>NH Albar</t>
  </si>
  <si>
    <t>CAMPO DE GIBRALTAR - C300E20</t>
  </si>
  <si>
    <t>NH AGUSTINOS - C054E75</t>
  </si>
  <si>
    <t>NH Agustinos</t>
  </si>
  <si>
    <t>HH LANZAROTE - C519EE04</t>
  </si>
  <si>
    <t>Hesperia Lanzarote</t>
  </si>
  <si>
    <t>HH ISLA LA TOJA - C554EE21</t>
  </si>
  <si>
    <t>Hesperia Isla La Toja</t>
  </si>
  <si>
    <t>HH PLAYA DORADA - C562EE26</t>
  </si>
  <si>
    <t>Hesperia Playa Dorada</t>
  </si>
  <si>
    <t>HH SABINAL - C561EE25</t>
  </si>
  <si>
    <t>Hesperia Sabinal</t>
  </si>
  <si>
    <t>HOTEL SOTOGRANDE - C305</t>
  </si>
  <si>
    <t>NH Sotogrande</t>
  </si>
  <si>
    <t>NH ALGECIRAS SUITES - C462E42</t>
  </si>
  <si>
    <t>NH Algeciras Suites</t>
  </si>
  <si>
    <t>NH CIUTAT DE REUS - C142E14</t>
  </si>
  <si>
    <t>NH Ciutat de Reus</t>
  </si>
  <si>
    <t>LA PERDIZ</t>
  </si>
  <si>
    <t>NH La Perdiz</t>
  </si>
  <si>
    <t>HOTEL ALMENARA - C046E39</t>
  </si>
  <si>
    <t>Hotel Almenara</t>
  </si>
  <si>
    <t>DELTA</t>
  </si>
  <si>
    <t>NH Delta</t>
  </si>
  <si>
    <t>NH Palacio de Oriol</t>
  </si>
  <si>
    <t>SPORT</t>
  </si>
  <si>
    <t>NH LEONARDO DA VINCI - C762I13</t>
  </si>
  <si>
    <t>NH MIDAS - C763I13</t>
  </si>
  <si>
    <t>NH VITTORIO VENETO - C764I13</t>
  </si>
  <si>
    <t>NH Vittorio Veneto</t>
  </si>
  <si>
    <t>NH VILLA CARPEGNA - C765I13</t>
  </si>
  <si>
    <t>NH EXCELSIOR - C766I13</t>
  </si>
  <si>
    <t>NH AMBASCIATORI - C767I13</t>
  </si>
  <si>
    <t>NH Ambasciatori</t>
  </si>
  <si>
    <t>NH TRIESTE - C769I13</t>
  </si>
  <si>
    <t>NH Trieste</t>
  </si>
  <si>
    <t>NH VICENZA - C770I13</t>
  </si>
  <si>
    <t>NH Vicenza</t>
  </si>
  <si>
    <t>NH SAVONA DARSENA</t>
  </si>
  <si>
    <t>NH LINATE</t>
  </si>
  <si>
    <t>NH PORTA ROSSA</t>
  </si>
  <si>
    <t>NH GRAND HOTEL PALAZZO - C786I06</t>
  </si>
  <si>
    <t>NH LINGOTTO TECH - C791I17</t>
  </si>
  <si>
    <t>NH Lingotto Tech</t>
  </si>
  <si>
    <t>NH LINGOTTO - C792I17</t>
  </si>
  <si>
    <t>NH Lingotto</t>
  </si>
  <si>
    <t>NH LAGUNA PALACE</t>
  </si>
  <si>
    <t>NH SANTO STEFANO - C702I05</t>
  </si>
  <si>
    <t>NH Santo Stefano</t>
  </si>
  <si>
    <t>NHOW MILANO - C703</t>
  </si>
  <si>
    <t>DONNAFUGATA - C704I04</t>
  </si>
  <si>
    <t>Donnafugata Golf Resort &amp; Spa</t>
  </si>
  <si>
    <t>NH CONCORDIA - C705I06</t>
  </si>
  <si>
    <t>NH ORIO AL SERIO</t>
  </si>
  <si>
    <t>NH GRAND HOTEL VERDI - C708I06</t>
  </si>
  <si>
    <t>NH MANIN - C709I06</t>
  </si>
  <si>
    <t>NH Manin</t>
  </si>
  <si>
    <t>NH ANGLO AMERICAN - C710I06</t>
  </si>
  <si>
    <t>NH VILLA SAN MAURO - C713I06</t>
  </si>
  <si>
    <t>NH Villa San Mauro</t>
  </si>
  <si>
    <t>NH GIUSTINIANO - C716I06</t>
  </si>
  <si>
    <t>NH MANTEGNA - C717I06</t>
  </si>
  <si>
    <t>GRAN HOTEL CONVENTO DI AMALFI - C718I06</t>
  </si>
  <si>
    <t>Grand Hotel Convento di Amalfi</t>
  </si>
  <si>
    <t>NH PARCO DEGLI ARAGONESI</t>
  </si>
  <si>
    <t>NH Parco Degli Aragonesi</t>
  </si>
  <si>
    <t>NH ANCONA - C729I13</t>
  </si>
  <si>
    <t>NH Ancona</t>
  </si>
  <si>
    <t>NH BERGAMO - C730I13</t>
  </si>
  <si>
    <t>NH BOLOGNA DE LA GARE - C731I13</t>
  </si>
  <si>
    <t>NH BOLOGNA VILLANOVA - C732I13</t>
  </si>
  <si>
    <t>NH BRESCIA - C733I13</t>
  </si>
  <si>
    <t>NH BELLINI - C735I13</t>
  </si>
  <si>
    <t>NH Bellini</t>
  </si>
  <si>
    <t>NH FIRENZE - C736I13</t>
  </si>
  <si>
    <t>NH Firenze</t>
  </si>
  <si>
    <t>NH MARINA - C737I13</t>
  </si>
  <si>
    <t>NH PLAZA - C738I13</t>
  </si>
  <si>
    <t>NH Plaza</t>
  </si>
  <si>
    <t>NH LA SPEZIA - C740I13</t>
  </si>
  <si>
    <t>NH La Spezia</t>
  </si>
  <si>
    <t>NH PONTEVECCHIO - C741I13</t>
  </si>
  <si>
    <t>MILANO 2 + RESIDENCE JOLLY</t>
  </si>
  <si>
    <t>NH MACHIAVELLI - C743I13</t>
  </si>
  <si>
    <t>NH PRESIDENT - C744I13</t>
  </si>
  <si>
    <t>NH MILANO TOURING - C745I13</t>
  </si>
  <si>
    <t>NH MILANOFIORI - C746I13</t>
  </si>
  <si>
    <t>NH Milanofiori</t>
  </si>
  <si>
    <t>NH AMBASSADOR - C747I13</t>
  </si>
  <si>
    <t>NH PALERMO - C748I13</t>
  </si>
  <si>
    <t>NH Palermo</t>
  </si>
  <si>
    <t>NH CAVALIERI - C749I13</t>
  </si>
  <si>
    <t>NH Cavalieri</t>
  </si>
  <si>
    <t>NH FIERA - C757I13</t>
  </si>
  <si>
    <t>NH RAVENNA - C761I13</t>
  </si>
  <si>
    <t>NH Ravenna</t>
  </si>
  <si>
    <t>ORUS</t>
  </si>
  <si>
    <t>NH Orus</t>
  </si>
  <si>
    <t>NH HOTEL CASINO - C461A09</t>
  </si>
  <si>
    <t>NH Hotel Casino</t>
  </si>
  <si>
    <t>Baluarte</t>
  </si>
  <si>
    <t>Casino de Madrid</t>
  </si>
  <si>
    <t>NH Campus</t>
  </si>
  <si>
    <t>NH Breathless Punta Cana</t>
  </si>
  <si>
    <t>NH Haití El Rancho</t>
  </si>
  <si>
    <t>NH Parma Stazione</t>
  </si>
  <si>
    <t>NH Guadalajara Centro Histórico</t>
  </si>
  <si>
    <t>NHOW Rotterdam</t>
  </si>
  <si>
    <t>NH Ciudad de Panama</t>
  </si>
  <si>
    <t>NH Piazza Carlina</t>
  </si>
  <si>
    <t>NH Segovia</t>
  </si>
  <si>
    <t>NH The Five Curitiva</t>
  </si>
  <si>
    <t>NHOW La Dehesa</t>
  </si>
  <si>
    <t>NH Capri La Habana</t>
  </si>
  <si>
    <t>No en Khalix</t>
  </si>
  <si>
    <t>Resumen:</t>
  </si>
  <si>
    <t>Franchise</t>
  </si>
  <si>
    <t>Owned</t>
  </si>
  <si>
    <t>Management</t>
  </si>
  <si>
    <t>Lease</t>
  </si>
  <si>
    <t>COMPARABLES RESORTS</t>
  </si>
  <si>
    <t>MADRID CAPITAL</t>
  </si>
  <si>
    <t>MADRID PERIFERIA</t>
  </si>
  <si>
    <t>MADRID COMPARABLES</t>
  </si>
  <si>
    <t>CENTRO</t>
  </si>
  <si>
    <t>MADRID Y CENTRO</t>
  </si>
  <si>
    <t>NORTE COMPARABLES</t>
  </si>
  <si>
    <t>SUR COMPARABLES</t>
  </si>
  <si>
    <t>CATALUÑA ZARAGOZA Y LEVANTE COMPARABLES</t>
  </si>
  <si>
    <t>FICTICIOUS HOTELS SPAIN</t>
  </si>
  <si>
    <t>SPAIN COMPARABLE HOTELS</t>
  </si>
  <si>
    <t>CLUB DEPORTIVO SOTOGRANDE - C514E40</t>
  </si>
  <si>
    <t>CENTROS RESTAURACION BU SPAIN</t>
  </si>
  <si>
    <t>SPA EUROBUILDING - C313E09</t>
  </si>
  <si>
    <t>SPAIN COMPARABLE HOTELS &amp; F&amp;B &amp; SPA</t>
  </si>
  <si>
    <t>MANAGEMENT MADRID &amp; CENTRO</t>
  </si>
  <si>
    <t>MANAGEMENT NORTE</t>
  </si>
  <si>
    <t>NH CALIFA - C032E91</t>
  </si>
  <si>
    <t>NH SAN PEDRO DE ALCANTARA - C147E54</t>
  </si>
  <si>
    <t>MANAGEMENT SUR</t>
  </si>
  <si>
    <t>HESPERIA LANZAROTE - C519EE04</t>
  </si>
  <si>
    <t>HESPERIA BRISTOL PLAYA - C521EE06</t>
  </si>
  <si>
    <t>HESP. PLAYAS DE MALLORCA - C546EE19</t>
  </si>
  <si>
    <t>HESPERIA VILLAMIL - C547EE19</t>
  </si>
  <si>
    <t>HESPERIA SABINAL - C561EE25</t>
  </si>
  <si>
    <t>HESPERIA PLAYA DORADA - C562EE26</t>
  </si>
  <si>
    <t>TOTAL HESPERIA VACACIONALES</t>
  </si>
  <si>
    <t>HESPERIA GETAFE - C525EE09</t>
  </si>
  <si>
    <t>HESPERIA HERMOSILLA - C527EE09</t>
  </si>
  <si>
    <t>HESPERIA EMPERATRIZ - C541EE16</t>
  </si>
  <si>
    <t>HESPERIA MADRID - C542EE16</t>
  </si>
  <si>
    <t>HESPERIA TOLEDO - C558EE23</t>
  </si>
  <si>
    <t>TOTAL HESPERIA MADRID</t>
  </si>
  <si>
    <t>HESPERIA PRESIDENTE - C528EE09</t>
  </si>
  <si>
    <t>HESPERIA SANT JOAN - C529EE09</t>
  </si>
  <si>
    <t>HESPERIA TOWER - C530EE09</t>
  </si>
  <si>
    <t>HESPERIA FIRA SUITES - C531EE09</t>
  </si>
  <si>
    <t>HESPERIA DEL MAR - C537EE13</t>
  </si>
  <si>
    <t>HESPERIA DEL PORT - C538EE13</t>
  </si>
  <si>
    <t>HESPERIA RAMBLAS - C545EE18</t>
  </si>
  <si>
    <t>HESPERIA METROPOL - C548EE20</t>
  </si>
  <si>
    <t>HESPERIA SANT JUST - C560EE24</t>
  </si>
  <si>
    <t>TOTAL HESPERIA BARCELONA</t>
  </si>
  <si>
    <t>HESPERIA CIUTAT MALLORCA - C520EE05</t>
  </si>
  <si>
    <t>HESPERIA ZARAGOZA - C539EE14</t>
  </si>
  <si>
    <t>HESPERIA ANDORRA LA VELLA - C577EE01</t>
  </si>
  <si>
    <t>RESTO CATALUÑA URBANOS</t>
  </si>
  <si>
    <t>TOTAL HESPERIA REGIONAL CATALUNA</t>
  </si>
  <si>
    <t>HESPERIA DONOSTI - C524EE09</t>
  </si>
  <si>
    <t>HESPERIA BILBAO - C557EE22</t>
  </si>
  <si>
    <t>HESPERIA ZUBIALDE - C559EE23</t>
  </si>
  <si>
    <t>TOTAL HESPERIA PAIS VASCO</t>
  </si>
  <si>
    <t>HESPERIA A CORUÑA - C549EE21</t>
  </si>
  <si>
    <t>HESPERIA FINISTERRE - C552EE21</t>
  </si>
  <si>
    <t>HESPERIA ISLA LA TOJA - C554EE21</t>
  </si>
  <si>
    <t>HESPERIA PEREGRINO - C555EE21</t>
  </si>
  <si>
    <t>HESPERIA VIGO - C556EE21</t>
  </si>
  <si>
    <t>TOTAL HESPERIA GALICIA</t>
  </si>
  <si>
    <t>TOTAL HESPERIA PAIS VASCO Y GALICIA</t>
  </si>
  <si>
    <t>HESPERIA CORDOBA - C523EE08</t>
  </si>
  <si>
    <t>HESPERIA GRANADA - C526EE09</t>
  </si>
  <si>
    <t>HESPERIA SEVILLA - C533EE10</t>
  </si>
  <si>
    <t>HESPERIA MURCIA - C540EE15</t>
  </si>
  <si>
    <t>TOTAL HESPERIA SUR</t>
  </si>
  <si>
    <t>TOTAL HESPERIA URBANOS</t>
  </si>
  <si>
    <t>TOTAL HESPERIA COMPARABLES ESPAÑA</t>
  </si>
  <si>
    <t>TOTAL DPT NEW 13 &amp; 12</t>
  </si>
  <si>
    <t>CURRENCY =</t>
  </si>
  <si>
    <t>EURO (Consolidation, Monthly Avg Rate)</t>
  </si>
  <si>
    <t>CONTROLS =</t>
  </si>
  <si>
    <t>TOTAL CONSOLIDATION IFRS</t>
  </si>
  <si>
    <t>TIMEPER</t>
  </si>
  <si>
    <t>ACCOUNTS</t>
  </si>
  <si>
    <t>Jul 14 Bud YTD</t>
  </si>
  <si>
    <t>Dec 14 Bud YTD</t>
  </si>
  <si>
    <t>Jul 14 YTD</t>
  </si>
  <si>
    <t>RESTAURANT REVENUE</t>
  </si>
  <si>
    <t>OWN LABOUR COST</t>
  </si>
  <si>
    <t>RENT EXTERNAL</t>
  </si>
  <si>
    <t>PROPERTY AND REAL ESTATE TAXES</t>
  </si>
  <si>
    <t>OTHER EXPENSES</t>
  </si>
  <si>
    <t>62190 - APPLICATION OF ONEROUS CONTRACTS PROVISION</t>
  </si>
  <si>
    <t>E62100010 - C. ONEROSO</t>
  </si>
  <si>
    <t>CANON, REVENUE RELATED FEE IC</t>
  </si>
  <si>
    <t>COPERAMA - C159E78</t>
  </si>
  <si>
    <t>COPERAMA-NH - C596E78</t>
  </si>
  <si>
    <t>COPERAMA-ASOCIADOS - C597E78</t>
  </si>
  <si>
    <t>COPERAMA SL</t>
  </si>
  <si>
    <t>NH BALUARTE</t>
  </si>
  <si>
    <t>NH CLUB NAUTICO SALINAS - C591E20</t>
  </si>
  <si>
    <t>RESTAURANTES CASINO &amp; RETAMARES</t>
  </si>
  <si>
    <t>SPAIN COMPARABLE</t>
  </si>
  <si>
    <t>CS RESORTS - C158E77</t>
  </si>
  <si>
    <t>HEAD OFFICES SPAIN</t>
  </si>
  <si>
    <t>HEAD OFFICES PORTUGAL</t>
  </si>
  <si>
    <t>HEAD OFFICE BU SPAIN &amp; RESORTS</t>
  </si>
  <si>
    <t>TOTAL CENTRES &amp; HEAD OFFICES BU SPAIN</t>
  </si>
  <si>
    <t>TOTAL NON COMPARABLE SPAIN</t>
  </si>
  <si>
    <t>ADJUSTMENT BU SPAIN</t>
  </si>
  <si>
    <t>CONSOLIDATION BUSINESS UNIT SPAIN &amp; RESORTS</t>
  </si>
  <si>
    <t>ADJ SPAIN REMOVALS</t>
  </si>
  <si>
    <t>CONSOLIDATION BU SPAIN &amp; RESORTS &amp; ADJ</t>
  </si>
  <si>
    <t>CONSOLIDATION BU SPAIN &amp; RESORTS &amp; COPERAMA</t>
  </si>
  <si>
    <t>CONSOLIDATION BENELUX ADJ REMOVALS</t>
  </si>
  <si>
    <t>REST OF REGIONAL A CE</t>
  </si>
  <si>
    <t>VIENNA COMPARABLE</t>
  </si>
  <si>
    <t>AUSTRIA COMPARABLE</t>
  </si>
  <si>
    <t>MUNICH COMPARABLE</t>
  </si>
  <si>
    <t>REGION A COMPARABLE CE</t>
  </si>
  <si>
    <t>SWITZERLAND COMPARABLE</t>
  </si>
  <si>
    <t>FRANKFURT COMPARABLE</t>
  </si>
  <si>
    <t>REST OF REGION B COMPARABLE CE</t>
  </si>
  <si>
    <t>REGION B COMPARABLE CE</t>
  </si>
  <si>
    <t>REST OF REGION C COMPARABLE CE</t>
  </si>
  <si>
    <t>DUESSELDORF COMPARABLE</t>
  </si>
  <si>
    <t>BERLIN COMPARABLE</t>
  </si>
  <si>
    <t>REGION C COMPARABLE CE</t>
  </si>
  <si>
    <t>FICTICIOUS GERMANY ADJ E-COMMERCE</t>
  </si>
  <si>
    <t>REST REGION D COMPARABLE CE</t>
  </si>
  <si>
    <t>HAMBURG COMPARABLE</t>
  </si>
  <si>
    <t>REGION D COMPARABLE CE</t>
  </si>
  <si>
    <t>CENTRAL EUROPE HOTELS COMPARABLE</t>
  </si>
  <si>
    <t>USA COMPARABLES</t>
  </si>
  <si>
    <t>CENTRAL EUROPE &amp; USA HOTELS COMPARABLE</t>
  </si>
  <si>
    <t>HEAD OFFICES GERMANY &amp; CEE</t>
  </si>
  <si>
    <t>TOTAL HOTELS &amp; HEAD OFFICE GERMANY &amp; CEE</t>
  </si>
  <si>
    <t>NH GOETTINGEN - C259G01</t>
  </si>
  <si>
    <t>NH KULMBACH - C267G01</t>
  </si>
  <si>
    <t>SCHLOSSHOTEL BUEHLERHOEHE - C289G01</t>
  </si>
  <si>
    <t>NH TRIER</t>
  </si>
  <si>
    <t>NH PRAHA RADLICKA - C450T01</t>
  </si>
  <si>
    <t>PLAETTIG HOTEL - C515G09</t>
  </si>
  <si>
    <t>OPENINGS &amp; CLOSINGS CENTRAL EUROPE</t>
  </si>
  <si>
    <t>FICTICIOUS AUSTRIA</t>
  </si>
  <si>
    <t>FICTICIOUS GERMANY (CORP)</t>
  </si>
  <si>
    <t>NH CONSOLIDATION CENTRAL EUROPE</t>
  </si>
  <si>
    <t>CONSOLIDATION GERMANY &amp; CENTRAL EUROPE &amp; AMERICA</t>
  </si>
  <si>
    <t>TOTAL HEAD OFFICES MERCOSUR</t>
  </si>
  <si>
    <t>MERCOSUR COMPARABLES</t>
  </si>
  <si>
    <t>CONSOLIDATION BU MERCOSUR</t>
  </si>
  <si>
    <t>CONSOLIDATION BU MEXICO &amp; COLOMBIA</t>
  </si>
  <si>
    <t>CONSOLIDATION AMERICA</t>
  </si>
  <si>
    <t>CONSOLIDATION ITALY ADJ REMOVALS</t>
  </si>
  <si>
    <t>CORPORATE</t>
  </si>
  <si>
    <t>CONSOLIDATION FAST GOOD</t>
  </si>
  <si>
    <t>TOTAL CONSOLIDATION</t>
  </si>
  <si>
    <t>H COLLECT. PALACIO BURGOS - C149E21</t>
  </si>
  <si>
    <t>MANAGEMENT SPAIN NO COMPARABLE</t>
  </si>
  <si>
    <t>MANAGEMENT HOTELS BU SPAIN</t>
  </si>
  <si>
    <t>MANAGEMENT HOTELS RESORTS</t>
  </si>
  <si>
    <t>MANAGEMENT HOTELS BU SPAIN &amp; RESORTS</t>
  </si>
  <si>
    <t>NH GRAND HOTEL KRASNAPOLS - C218N67</t>
  </si>
  <si>
    <t>NHOW ROTTERDAM HOTEL - C471N52</t>
  </si>
  <si>
    <t>JOLLY HOTEL LOTTI - C775F11</t>
  </si>
  <si>
    <t>HOW ROTTERDAM - C971N71</t>
  </si>
  <si>
    <t>MANAGEMENT HOTELS BU BENELUX + UK + SA + FR</t>
  </si>
  <si>
    <t>MANAGEMENT HOTELS BU GERMANY</t>
  </si>
  <si>
    <t>MANAGEMENT HOTELS BU MEXICO</t>
  </si>
  <si>
    <t>NH ROYAL PALACE - C724I10</t>
  </si>
  <si>
    <t>TOTAL LINGOTTO</t>
  </si>
  <si>
    <t>MANAGEMENT HOTELS BU ITALY</t>
  </si>
  <si>
    <t>MANAGEMENT HOTELS BU MERCOSUR</t>
  </si>
  <si>
    <t>TOTAL HESPERIA ESPAÑA</t>
  </si>
  <si>
    <t>MANAGEMENT HOTELS HESPERIA</t>
  </si>
  <si>
    <t>AREATZA - C518EE03</t>
  </si>
  <si>
    <t>HH PATRICIA - C563EE27</t>
  </si>
  <si>
    <t>TOTAL MANAGEMENT HOTELES HESPERIA</t>
  </si>
  <si>
    <t>MANAGEMENT HOTELS</t>
  </si>
  <si>
    <t>Renta Status trans renegociación</t>
  </si>
  <si>
    <t>N/A</t>
  </si>
  <si>
    <t>Reminder sent - doc received, check RV w/GC</t>
  </si>
  <si>
    <t>Opening in 2016</t>
  </si>
  <si>
    <t>Opening in 2017. RV: 75% NOI.</t>
  </si>
  <si>
    <t>21% gross revenue</t>
  </si>
  <si>
    <t>22% gross revenue</t>
  </si>
  <si>
    <t>25% gross revenue</t>
  </si>
  <si>
    <t>GOP (minus Property Tax, NH Fee 3% of Revenue, minus other defined expenses and deduction of any extraordinary results) --&gt; 93 % of the calculated GOP Fee</t>
  </si>
  <si>
    <t>GOP (minus Property Tax, NH Fee 3% of Revenue, minus other defined expenses and deduction of any extraordinary results) --&gt; 90 % of the calculated GOP Fee</t>
  </si>
  <si>
    <t>Previous year + CPI - 250,000€</t>
  </si>
  <si>
    <t>Previous year + CPI-350,000€</t>
  </si>
  <si>
    <t>20% on turnover exceeding €2.389.417</t>
  </si>
  <si>
    <t>20% on turnover exceeding €2.389.417 + CPI</t>
  </si>
  <si>
    <t>10% on turnover exceeding €4.833.804</t>
  </si>
  <si>
    <t>10% on turnover exceeding €4.833.804 + CPI</t>
  </si>
  <si>
    <t>NH ALCALÁ</t>
  </si>
  <si>
    <t>Congelada por reforma</t>
  </si>
  <si>
    <t>32% ingresos netos totales, excepto restauración que será el 15%</t>
  </si>
  <si>
    <t>RV: 32% ingresos netos totales anuales, excepto por los ingresos de restauración, a los que se les aplicará el 15%. RMG: 841.416,95€ +IPC (2003+).</t>
  </si>
  <si>
    <t>NH CIUDAD DE LA IMAGEN</t>
  </si>
  <si>
    <t>NH CIUDAD DE VALENCIA</t>
  </si>
  <si>
    <t>(-15%)</t>
  </si>
  <si>
    <t>100% GOP pactado</t>
  </si>
  <si>
    <t>NH CIUDAD DE ZARAGOZA</t>
  </si>
  <si>
    <t>NH CIUTAT DE VIC</t>
  </si>
  <si>
    <t>NH CONSTANZA</t>
  </si>
  <si>
    <t>Renta CA</t>
  </si>
  <si>
    <t>NH DIAGONAL CENTER</t>
  </si>
  <si>
    <t>32% facturación total / 50% restauración</t>
  </si>
  <si>
    <t>NH HERENCIA RIOJA</t>
  </si>
  <si>
    <t>NH LA HABANA</t>
  </si>
  <si>
    <t>NH LA MAQUINISTA</t>
  </si>
  <si>
    <t>NH CIUTAT DE MATARÓ</t>
  </si>
  <si>
    <t>NH MASTER</t>
  </si>
  <si>
    <t>NH LA RIOJA</t>
  </si>
  <si>
    <t>NH MINDORO</t>
  </si>
  <si>
    <t>75% GOP</t>
  </si>
  <si>
    <t>30% ventas anuales</t>
  </si>
  <si>
    <t>NH NACIONAL</t>
  </si>
  <si>
    <t>NH PALACIO DE TEPA</t>
  </si>
  <si>
    <t>NH PARLA</t>
  </si>
  <si>
    <t>NH PASEO DEL PRADO</t>
  </si>
  <si>
    <t>NH PIRINEOS</t>
  </si>
  <si>
    <t>NH PODIUM</t>
  </si>
  <si>
    <t>NH SAN SEBASTIAN DE LOS REYES</t>
  </si>
  <si>
    <t>NH SUR</t>
  </si>
  <si>
    <t>5% facturación</t>
  </si>
  <si>
    <t>NH TURCOSA</t>
  </si>
  <si>
    <t>RF a actualizar según IPC, 2013: 1.737.634€.</t>
  </si>
  <si>
    <t>NH VILLA DE BILBAO</t>
  </si>
  <si>
    <t>2 Dª</t>
  </si>
  <si>
    <t>3 Dª</t>
  </si>
  <si>
    <t>4+6 Dª</t>
  </si>
  <si>
    <t>So + Ba Dª</t>
  </si>
  <si>
    <t>2 Iª</t>
  </si>
  <si>
    <t>Ba Iª</t>
  </si>
  <si>
    <t>So Iª</t>
  </si>
  <si>
    <t>NH EMBAJADA (mensuales)</t>
  </si>
  <si>
    <t>1+5+7 Dª</t>
  </si>
  <si>
    <t>(+IPC)</t>
  </si>
  <si>
    <t>NH CENTER</t>
  </si>
  <si>
    <t>NH CIUDAD DE SANTANDER</t>
  </si>
  <si>
    <t>NH EL TORO</t>
  </si>
  <si>
    <t>NH LAS ARTES I+II</t>
  </si>
  <si>
    <t>NH LEGANES</t>
  </si>
  <si>
    <t>NH LUZ HUELVA</t>
  </si>
  <si>
    <t>NH VICTORIA PALACE</t>
  </si>
  <si>
    <t>Dif. Entre Budget y Correcta</t>
  </si>
  <si>
    <t>Proyección Directores (7M real + proy. ajsutadas)</t>
  </si>
  <si>
    <t>ESTIMADO S/CONTRATO</t>
  </si>
  <si>
    <t>BUDGET TOTAL</t>
  </si>
  <si>
    <t>25% GOP ajustado</t>
  </si>
  <si>
    <t>Comentario - Fer</t>
  </si>
  <si>
    <t>Comentarios Carla</t>
  </si>
  <si>
    <t>18% GOP ajustado</t>
  </si>
  <si>
    <t>15% GOP ajustado</t>
  </si>
  <si>
    <t>KHALIX FCST RENT (7M real)</t>
  </si>
  <si>
    <t>Teórica correcta</t>
  </si>
  <si>
    <t>20% GOP ajustado</t>
  </si>
  <si>
    <t>RF: 590.000€ (2010-2012), actualizado según IPC a partir de 2013.</t>
  </si>
  <si>
    <t>18,7% GOP ajustado</t>
  </si>
  <si>
    <t>30% GOP ajustado</t>
  </si>
  <si>
    <t>BOG</t>
  </si>
  <si>
    <t>Fixed or Variable</t>
  </si>
  <si>
    <t>TYPE OF RENT</t>
  </si>
  <si>
    <t>Variable /Sales</t>
  </si>
  <si>
    <t>Fixed + Variable /Sales</t>
  </si>
  <si>
    <t>Fixed + Variable /Adjusted GOP</t>
  </si>
  <si>
    <t>Detailed</t>
  </si>
  <si>
    <t>500.000€ de GOP ajustado (max); si GOP ajustado inferior a 500.000€ RV=100% GOP ajustado</t>
  </si>
  <si>
    <t>325.000€ de GOP ajustado (max); si GOP ajustado inferior a 325.000€ RV=100% GOP ajustado</t>
  </si>
  <si>
    <t>Variable /NOI</t>
  </si>
  <si>
    <t>75% NOI</t>
  </si>
  <si>
    <t>E-mail sent requesting more information: addendum date, end date and further detaill on the rent structure.</t>
  </si>
  <si>
    <t>Reminder sent - doc received, check RV w/YF</t>
  </si>
  <si>
    <t>Reminder sent - doc received, check info FL</t>
  </si>
  <si>
    <t>Comentario  Fer</t>
  </si>
  <si>
    <t>VR on turnover for the 2nd half of 2015: 4% under €1,750M, 5% between €1,750M-€1,875M and 6% between €1,875M-€2M.</t>
  </si>
  <si>
    <t>20% on turnover exceeding €5.160.597</t>
  </si>
  <si>
    <t>6% on turnover exceeding €7.455.897</t>
  </si>
  <si>
    <t>La diferencia entre mi cálculo y el Budget era muy grande, me dí cuenta del descuento de 450k durante los dos primeros años por un tema de mantenimiento, lo apliqué y quedamos un poco más cerca.</t>
  </si>
  <si>
    <t>Diferencia muy grande con Budget.</t>
  </si>
  <si>
    <t xml:space="preserve">Rent: Fixed of €611.429 / with reduction to €421.429 (1st yr) and €526.786 (2nd yr). VR of 23% of turnover / reduction to 20% (1st yr), 21% (2nd yr). Additional VR of 22% of EBITDA. +75% var. ISTAT (4th yr +). </t>
  </si>
  <si>
    <t>Rent: From 1/1/2013 to 31/12/2014: fixed annual rent of €1.200.000
Year 2015:
From 1/1/2015 to 30/6/2015: fixed rent of € 600.000
From 1/7/2015 to 31/12/2015: fixed rent of € 600.000 + a variable rent on turnover made during 1/7/2015-31/12/2015 equal to:
-4% on turnover up to € 1.750.000;
-5% on turnover exceeding € 1.750.000 up to € 1.875.000;
-6% on turnover exceeding € 1.875.000 up to € 2.000.000;
-10% on turnover 1/7/2015-31/12/2015 up to € 2.000.000
From 1/1/2016 until the end of the agreement: fixed rent of € 1.200.000 + a variable rent on turnover equal to:
-4% on turnover up to € 3.500.000;
-5% on turnover exceeding € 3.500.000 up to € 3.750.000; 
-6% on turnover exceeding € 3.750.000 up to € 4.000.000;
-10% on turnover up to € 4.000.000.
From 1/1/2013 until the end of the agreement: NO Var. ISTAT</t>
  </si>
  <si>
    <t xml:space="preserve"> Rent: Fixed of  €103.290 (1999-2002), €129.110 (2003-2004), €129.100 + 75% var. ISTAT starting in 2005. 2013: Fixed of €141.00.</t>
  </si>
  <si>
    <t>Rent: Fixed of €658.999 + 75% var. ISTAT. 2013: Fixed of €794.000.</t>
  </si>
  <si>
    <t>Rent: VR on total turnover of 16% / €2.500.000 + 75% var. ISTAT MG. 2013: VR of 2.669.000.</t>
  </si>
  <si>
    <t>Rent: Fixed of €1.330.362 + 75% var. ISTAT / discounts: €240.6661 (1st yr), €180.458 (2nd yr), €120.306 (3rd-4th yr), €60.153 (5th-7th yr). Residence Rent: Fixed of €879.638 + 75% var. ISTAT / discount: €159.389 (1st yr), €119.542 (2nd yr), €79.694 (3rd-4th yr), €39.847 (5th-7th). 2013: Fixed of €2.110.000.</t>
  </si>
  <si>
    <t>Rent: VR on total turnover of 16% / €300.000 MG (1st year), 19% / €450.000 MG (2nd year), 21% / €650.000 MG (3rd year), 24% + 5% on turnover exceeding €4M / €850.000 MG + 100% var. ISTAT. 2013: VR of €850.000.
From June 2013, 800,000€ with 50,000€ as barter with hotel services</t>
  </si>
  <si>
    <t>Rent: Fixed of €1.261.767 (2011), €1.161.767 + 100% var. ISTAT (2012+). 2013: Fixed of €1.867.000.
Discount on the rent:
2014: 500,000€
2015: 250,000€
2016: 350,000€</t>
  </si>
  <si>
    <t>Rent: Fixed of €2.230.000 + 75 var. ISTAT. 2013: Fixed of €2.532.686.</t>
  </si>
  <si>
    <t>For termination at any time 12 month written notice. Rent: Fixed of €1.549.370 (2001), €1.678.480 (2002), €1.781.780 (2003+). VR on turnover exceeding €6.197.480: 3% (2002), 6% (2003). 2013: Fixed of €2.211.000 + VR of 6%. Updated exemption value of €7.455.897.</t>
  </si>
  <si>
    <t>Rent: Fixed of €420.000 (1st year), €520.000 (2nd year), €600.000  (3rd year +), + 75% var. ISTAT (4th year). 2013: Fixed of €633.000.
Discont on the rent: 
2013: 100,000€
2014: 100,000€</t>
  </si>
  <si>
    <t>Rent: €771.321 + 75% var. ISTAT. 2013: Fixed of €1.008.651.</t>
  </si>
  <si>
    <t>Rent: Fixed of €1.2M +100% var. ISTAT (2016+). VR of 0% up to €1.49M turnover, 19% from €1.5M-€1.99M turnover, 20% from €2M-€2.49M turnover, 22% €2.5M-€2.99M turnover, 24% exceeding €3M turnover. +100% var. ISTAT (2016+). 2015, Fixed rent of 1.2€M.</t>
  </si>
  <si>
    <t>Rent: Fixed of €1.100.000 (2013), €1.200.000 (2014), €1.300.000 (2015), €1.300.000 + 100% var. ISTAT + VR 25% on turnover exceeding €4.500.000 (2016+).</t>
  </si>
  <si>
    <t>Rent: Fixed of €1.270.000 + VR of 10% on turnover exceeding €2.415.000. 2013: Fixed hotel+garage of €1.270.000 + €168.000 VR. Starting 2014: +75% var. ISTAT.</t>
  </si>
  <si>
    <t xml:space="preserve"> Rent: Fixed of €1M (2013-until end of refurbishment), €2.2M (1st yr after refurbishment), €2.65M (2nd yr after refurbishment), €2,85M +75% var. ISTAT (3rd yr after refurbishment +).</t>
  </si>
  <si>
    <t>Termination at any time with 12 month written notice. Rent: VR on total turnover of: 18% / €900.000 MG (2013), 19% / €1.000.000 MG (2014), 20% / 1.100.000 MG (2015+). Starting 2016 var. ISTAT.</t>
  </si>
  <si>
    <t>Rent: Fixed of €1.549.370,70 + 75% var. ISTAT. 2013: €1.951.083.</t>
  </si>
  <si>
    <t>Rent: Fixed of €850.000 + 100% var. ISTAT. 2013: €983.00.</t>
  </si>
  <si>
    <t>Rent: Fixed of €361.000 + VR of 20% on turnover exceeding €2.389.417 + 75% var. ISTAT. 2013: Fixed of €427.000.</t>
  </si>
  <si>
    <t>Rent: Fixed of €241.748,66 (2008-2014), +75% var. ISTAT (2009), €315.000 (2015+), +75% var. ISTAT (2016+). 2013: Fixed of €261.000.</t>
  </si>
  <si>
    <t>Rent: Fixed of €3.350.000 + 100% var. ISTAT (01/07/2009-30/06/2010), €4.000.000 + €135.000 (spaces 4-6 floors) + €45.000 (spaces 3 floor). 2013 Fixed of €4.4473.861.</t>
  </si>
  <si>
    <t xml:space="preserve">Rent: Fixed of €565k (2008), €710k (2009-2012), €720k (2013-2016), €730k (2017-2020), €740k (2021), €750k (2022), €62.500 (2023). Starting 2009 +75% var. ISTAT. </t>
  </si>
  <si>
    <t>Rent: Fixed of €247.900 (01/10/2000-31/12/2000), €981.270 (2001), €1.032.910 (2002), € 1.032.910 + VR of 10% on turnover exceeding €4.131.660 (2003+), +75% var. ISTAT starting 2004. 2013: Fixed of €1.182.000. Updated exemption value €4.833.804.</t>
  </si>
  <si>
    <t>100% ISTAT price variation index</t>
  </si>
  <si>
    <t>75% ISTAT price variation index</t>
  </si>
  <si>
    <t>Fixed rent, annual CPI adjustment</t>
  </si>
  <si>
    <t>Fixed rent.</t>
  </si>
  <si>
    <t>VR only if 30% of total revenue higher that the FR.</t>
  </si>
  <si>
    <t>Proyección Directores (7M real + proy. ajustadas)</t>
  </si>
  <si>
    <t>VR only if 32% of the total revenue higher than the FR. Total revenue: room revenue, F&amp;B revenue and parking revenue.</t>
  </si>
  <si>
    <t>VR only if 35% of total revenue higher that the FR.</t>
  </si>
  <si>
    <t>Variable /GOP Fee</t>
  </si>
  <si>
    <t>93% GOP Fee</t>
  </si>
  <si>
    <t>35% total revenue</t>
  </si>
  <si>
    <t>32% total revenue</t>
  </si>
  <si>
    <t>30% total revenue</t>
  </si>
  <si>
    <t>Fixed + Variable /GOP Fee</t>
  </si>
  <si>
    <t>VR only if 28% of total revenue higher that the FR.</t>
  </si>
  <si>
    <t>28% total revenue</t>
  </si>
  <si>
    <t>VR only if 32% of total revenue higher that the FR.</t>
  </si>
  <si>
    <t>VR: only if 28% of total revenue higher that the FR.</t>
  </si>
  <si>
    <t>90% GOP Fee</t>
  </si>
  <si>
    <t>VR: only if 32% of total revenue higher that the FR.</t>
  </si>
  <si>
    <t>Fixed + Variable /Net Operating Income After Taxes</t>
  </si>
  <si>
    <t>10% adjusted GOP</t>
  </si>
  <si>
    <t>Fixed rent + 25% aditional variable rent over Net Operating Income After Taxes</t>
  </si>
  <si>
    <t>25% Net Operating Income After Taxes</t>
  </si>
  <si>
    <t>Variable rent over revenue (28% hotel rooms and MICE, 15% F&amp;B, 40% parking) with minimun guaranteed of 2.250.000€.</t>
  </si>
  <si>
    <t>FR: € 550.000 +  VR over total GOP minus 4% Management fee on Total Revenue, minus property tax, minus 3% of Total revenue for replacements plus the realized values of replacements.</t>
  </si>
  <si>
    <t>50-65%</t>
  </si>
  <si>
    <t>Variable over revenue (28% hotel rooms and MICE, 15% F&amp;B, 40% parking)</t>
  </si>
  <si>
    <t>Fixed rent + 20% aditional variable rent over sales (room rent, F&amp;B and MICE)</t>
  </si>
  <si>
    <t>20% sales (room rent, F&amp;B, MICE)</t>
  </si>
  <si>
    <t>65% over GOP Fee between 550.000 and 650.000, 60% over GOP Fee between 650.000 and 750.000, and 50% over GOP Fee higher than 750.000</t>
  </si>
  <si>
    <t>Variable /Sales (MG)</t>
  </si>
  <si>
    <t>Variable /GOP (MG)</t>
  </si>
  <si>
    <t>Variable / Sales (MG)</t>
  </si>
  <si>
    <t>USD</t>
  </si>
  <si>
    <t>Fixed rent, annual CPI adjustment. VR: 20% over room revenue exceeding c. 4,5M€.</t>
  </si>
  <si>
    <t xml:space="preserve"> 20% over room revenue exceeding c. 4,5M€</t>
  </si>
  <si>
    <t>RV: 21% of quarterly gross revenue, MG of 480.000 USD</t>
  </si>
  <si>
    <t>RV: 22% of quarterly gross revenue, MG 1.500.000 USD</t>
  </si>
  <si>
    <t>RV: 25% of quarterly gross revenue, MG 520.000 USD</t>
  </si>
  <si>
    <t>CPI price variation index / a partir del 01/01/2016</t>
  </si>
  <si>
    <t>CPI price variation index / ajuste el 01/enero</t>
  </si>
  <si>
    <t>CPI price variation index / ajuste el 01/agosto</t>
  </si>
  <si>
    <t>CPI price variation index / ajuste el 01/marzo</t>
  </si>
  <si>
    <t>CPI price variation index / ajuste 01/enero</t>
  </si>
  <si>
    <t>CPI price variation index / ajuste 01/septiembre</t>
  </si>
  <si>
    <t>RV= 75% GOP. A partir de junio 2013 RMG de 200.000€, primera actualización IPC en 2014.</t>
  </si>
  <si>
    <t>CPI price variation index / a partir del 01/01/2015</t>
  </si>
  <si>
    <t>CPI price variation index / ajuste el 01/septiembre</t>
  </si>
  <si>
    <t>RF actualizada según IPC, 2013: 1.421.314€. Reducción RV adicional a 18,7% GOP ajustado (GOP- Capex-menaje y pequeño utillaje-RF-Canon 4%).</t>
  </si>
  <si>
    <t>RF a actualizar según IPC; 2013: 268.530€. RV adicional: 25% GOP ajustado (GOP- Capex-menaje y pequeño utillaje-RF-Canon 4%).</t>
  </si>
  <si>
    <t>CPI price variation index / a partir del 01/04/2014</t>
  </si>
  <si>
    <t>CPI price variation index / ajuste el 01/abril</t>
  </si>
  <si>
    <t>Congelación IPC en 2014, se retoma en 2015. RF: €396.769 (2013) + IPC del 2014.</t>
  </si>
  <si>
    <t>20% sobre facturación bruta entre 5-5,5M€ / 100.000€ + 22% sobre facturación bruta superior a 5,5M€</t>
  </si>
  <si>
    <t>Reducción RF, quedando en €165.000 (2014-2016). Actualización anual IPC.</t>
  </si>
  <si>
    <t>RF: 180.000€ anuales (en 2012) + IPC. 2013: 181.125€ anuales.</t>
  </si>
  <si>
    <t>Reducción RF a : 360.000€ (2013), 360.000€+IPC (2014). A partir del 01/01/2015 RF acordada en CA (2015-2019).</t>
  </si>
  <si>
    <t>2% anual / a partir del 01/04/2015</t>
  </si>
  <si>
    <t>RF a actualizar anualmente según IPC. RF establecida en contrato: 736.239,83€ +IPC anual, 2013: 997.003€.</t>
  </si>
  <si>
    <t>CPI update                                       (CPI = IPC - 2014 a 2015: 1%)</t>
  </si>
  <si>
    <t>De Abril a Diciembre: 30% ventas</t>
  </si>
  <si>
    <t>RF: congelada de 2013 a 2016. A partir de 2017 se actualizará según IPC.</t>
  </si>
  <si>
    <t>38% sobre ventas totales</t>
  </si>
  <si>
    <t>34% sobre ventas totales</t>
  </si>
  <si>
    <t>1.079.952€ de renta fija +  77.208€ de ajustes</t>
  </si>
  <si>
    <t>1.079.952€ de renta fija actualizado con ipc +  77.208€ de ajustes</t>
  </si>
  <si>
    <t>25% del resultado bruto de explotación = GOP ajustado (GOP- Capex-menaje y pequeño utillaje-RF-Canon 4%)</t>
  </si>
  <si>
    <t>CPI price variation index / a partir del 01/01/2020</t>
  </si>
  <si>
    <t>CPI price variation index / a partir del 01/01/2017</t>
  </si>
  <si>
    <t>50% CPI price variation index / ajuste el 01/enero</t>
  </si>
  <si>
    <t>CPI price variation index / ajuste el 01/julio</t>
  </si>
  <si>
    <t>Establece una renta fija con efectos retroactivos desde el 1 de enero 2014 hasta el final del contrato. RF: €7.500 por hab/año, total de €360.000 de renta anual. Actualización IPC (2015+).</t>
  </si>
  <si>
    <t>Establece una renta fija con efectos retroactivos desde el 1 de enero 2014 hasta el final del contrato. RF: €2.800 hab/año, total de €179.200 de renta anual. Actualización anual  IPC a partir de 2015. Durante los últimos 5 años de contrato se sumarán €36.000 anuales adicionales a la renta fija anterior + actualización del IPC</t>
  </si>
  <si>
    <r>
      <t>RF: no actualización IPC (2014-2016), aplicándose la renta de 2013. En 2017 se actualiza la renta con el IPC acumulado de 2014-2016., y hasta final de contrato actualización anual por IPC</t>
    </r>
    <r>
      <rPr>
        <sz val="10"/>
        <rFont val="Calibri"/>
        <family val="2"/>
      </rPr>
      <t>. RV adicional: 2%  (2014-2016), 3,5% (2017+) sobre ingresos brutos.</t>
    </r>
  </si>
  <si>
    <t>RV: calculada por tramos (30%- 50%) sobre las ventas anuales brutas, con un mínimo garantizado de 1.400.000€ - actualización anual IPC - (2014-2021). A partir del 30/06/2021 la arrendadora puede optar por extender el régimen de renta variable o volver al de renta fija existente con anterioridad a la presente adenda (renta de mercado). Se pacta reformar instalaciones, a cargo de NH, con una inversión mínima de 4M€.</t>
  </si>
  <si>
    <t>CPI price variation index / a partir de 01/07/2016</t>
  </si>
  <si>
    <t>CPI price variation index / a partir de 01/01/2017</t>
  </si>
  <si>
    <t xml:space="preserve">Reducción de la RF durante 01/04/2013-01/04/2015 en un 15% y no se aplicará el incremento de IPC de los años 2012 a 2013. Al terminar este periodo se volverá a lo establecido en el CA, Diciembre 2012 (64.416,62€)
Según el CA de 1992: Del año 11º al 15º (2003 - 2007): la renta será la del año anterior + 10%. Del año 16º a 25º (2008 a 2017): será la del año anterior (2007) + 20%. </t>
  </si>
  <si>
    <t>Contrato de LHI - RF 2013: 3.332.045€, 2014: 2013+IPC.</t>
  </si>
  <si>
    <t>Contrato de LHI - RF a actualizar según IPC, 2013: 875.588€.</t>
  </si>
  <si>
    <t>Contrato LHI -RF a actualizar según IPC, 2013: 623.181€.</t>
  </si>
  <si>
    <t>01/01/2013- pte firmar pero aplicando</t>
  </si>
  <si>
    <t>Congelación de IPC en la RF  de 2014 y 2015, por lo que la renta fija será de 408.849€ + RV adicional de 2,5% sobre ventas netas (2014-2015). A partir de 2016 renta será la de 2009  (441.999€) sin actualizar el ipc (sólo se actualiza con ipc a partir del 2017) y  RV adicional de 3% ventas netas.</t>
  </si>
  <si>
    <t>CPI price variation index / ajuste el 01/enero/2017</t>
  </si>
  <si>
    <t>RV: 34% facturación total. RMG de contrato de 2.750.000€ (2007) por los dos hoteles a actualizar según IPC.</t>
  </si>
  <si>
    <t>RV: 38% facturación total. RMG de contrato de 2.750.000€ (2007) por los dos hoteles a actualizar según IPC.</t>
  </si>
  <si>
    <t>20% GOP ajustado - si han finalizado las obras</t>
  </si>
  <si>
    <t>RF: 500.000€ + IPC a partir de 01/04/2014. Transcurridos 12 años del presente contrato (2019)  se incrementará la renta resultante en 24.040€ anuales+ IPC. RV adicional: si la facturación anual del hotel es superior a 2,2M€: un 10% para los primeros 200.000€ y un 15% de los 200.000€ en adelante.</t>
  </si>
  <si>
    <t>RF a actualizar según IPC+ RV adicional: 25% del resultado bruto de explotación = GOP ajustado (GOP- Capex-menaje y pequeño utillaje-RF-Canon 4%)</t>
  </si>
  <si>
    <t>412.608 (Renta 2012) + inflacionar con IPC</t>
  </si>
  <si>
    <t>Modificación temporal de la renta. RF: 1,7M€ (2014-2015). En 2016 lo que resulte de actualizar la cantidad de 1.803.804,96 con IPC 2013-2015, actualización IPC de 2017 en adelante. A cambio de una inversión de 179.840€ por parte de NH en Lobby, unión 10 hab. y gimansio.</t>
  </si>
  <si>
    <t xml:space="preserve">Fixed </t>
  </si>
  <si>
    <t xml:space="preserve">RF: reducción 10% anual quedando en €236.353,80 anuales. Congelación IPC hasta finalización contrato. En 2014 tiene efectos desde 01 de Mayo. </t>
  </si>
  <si>
    <t>Extensión del contrato en 2 años. Rebaja RF 2014 en 95.833€. Renta 2014: 854.167€. RF a partir de 2015: 700.000€. Revisión anual IPC hasta fin de contrato.</t>
  </si>
  <si>
    <t>22% sobre facturación total que exceda los €4.3 millones</t>
  </si>
  <si>
    <t>Reducción para los años restantes del CA RF en €140.000 (cantidad anual total) a partir de abril 2014. Así, RF 2014: €1.360.692 (con reducción €11.667mensuales últimos 9 meses). Renta anual reducida (año completo): €1.325.692 + actualización anual fija de 2% a partir de 2015. Renta variable adicional del 22% de la facturación total que exceda de €4.3 millones (+IPC anual).</t>
  </si>
  <si>
    <t>Hotel New name</t>
  </si>
  <si>
    <t>NH Amsterdam Noord</t>
  </si>
  <si>
    <t>Como contrapartida a la inversión realizada de 3.364.012€ se otorga el siguiente periodo de carencia: Septiembre, Octubre, Noviembre y Diciembre de 2013. Enero y mitad de Febrero de 2014. Mitad de Noviembre y Diciembre de 2014 y 208.320,15 € en 2015</t>
  </si>
  <si>
    <t>512.196 + CPI</t>
  </si>
  <si>
    <t>1.539.084 + CPI</t>
  </si>
  <si>
    <t>166.644 + CPI</t>
  </si>
  <si>
    <t>1.345.572 + 2%</t>
  </si>
  <si>
    <t>411.696 + CPI</t>
  </si>
  <si>
    <t>699.996 + CPI</t>
  </si>
  <si>
    <t>379.020 + 2%</t>
  </si>
  <si>
    <t>320.004 + CPI</t>
  </si>
  <si>
    <t>180.792 + CPI</t>
  </si>
  <si>
    <t>772.992 + CPI</t>
  </si>
  <si>
    <t>2.826.660 + CPI</t>
  </si>
  <si>
    <t>290.000 + CPI</t>
  </si>
  <si>
    <t>CPI price variation index / ajuste el 01/enero (2017: posible descuento del 1% sobre acumulado 13-16)</t>
  </si>
  <si>
    <t>Reducción de la renta de 2014 a 2019:  
- 2014: RF: 234.280,4€ + RV de Enero a Septiembre (4% sobre ventas netas del hotel)
-2015: RF:100.000€ . No se paga RV
-2016: RF:100.000€ . No se paga RV
-2017: RF:200.000€ . No se paga RV
-2018: RF:300.000€ . No se paga RV
-2019: De Enero a Sept. 250.000€ de RF y no se paga RV. A partir del 01/10/2019 se pagará la renta de contrato. Que será la RF de 2013 (311.474,04€)+ la variación de ipc de los 5 años. Y RV del 4% sobre las ventas del hotel.</t>
  </si>
  <si>
    <t>4% facturación neta de Enero a Septiembre</t>
  </si>
  <si>
    <t>250.000€ de Enero a Septiembre + 77.877,51€ (Renta de 2013 *3 meses) actualizada con ipc</t>
  </si>
  <si>
    <t>4% sobre ventas netas = Ventas brutas - comisiones y rappels - coste de teléfono, tabaco, garaje y cualquier otro coste ajeno a la venta de habitaciones y hotel (audivisuales, flores, pay TV). Según CA de 19/12/1998</t>
  </si>
  <si>
    <t>30/06/2023 + Prórroga para NH hasta el 30/06/2032</t>
  </si>
  <si>
    <t>Fixed + Variable adicional sobre Ventas</t>
  </si>
  <si>
    <t>Seguir explicación cuadro</t>
  </si>
  <si>
    <t>RF: a partir de Enero 2015 = 1.400.000€ y se actualizará anualmente con ipc. Adicional a la renta fija se paga un anticipo anual de 134.742€ al año + la renta del parking</t>
  </si>
  <si>
    <t>RF: 564.525€/año desde el 01 de Enero 2015 y se actualiza con ipc en enero de cada año</t>
  </si>
  <si>
    <t>Bonificación temporal RMG: la renta mínima garantizada será 146.712,83€/mensuales para 2015. La RMG a partir del 01/01/2016 será el resultado de aplicar a 2.345.074,20€/año el I.P.C. anual a Septiembre de 2013, Septiembre de 2014 y Septiembre de 2015.
RV: Se mantiene al 30% s/ventas totales anuales y 10% de las ventas del Gran Salón. A partir de 2015 se vuelve a renta de contrato 26/06/2001: el 30% de las ventas netas (sin comisiones ni ráppels) + el 10% de las ventas anuales netas generadas por el Gran Salón + 30% sólo sobre el beneficio neto generado de aquellos servicios prestados por terceros (megafonía, audiovisuales). 
Se extiende un año más el contrato.</t>
  </si>
  <si>
    <t>2.345.074,20€/año el I.P.C. anual a Septiembre de 2013, Septiembre de 2014 y Septiembre de 2015.</t>
  </si>
  <si>
    <t>CPI price variation index / a partir de 01/01/2015. Se toma el ipc interanual en caso de que la fecha de actualización no coincida con el fin de año natural.</t>
  </si>
  <si>
    <t>657.377,08€
Incluye RF + Renta Parking (40.266€)</t>
  </si>
  <si>
    <t>RF: 450.000€ (2013), 465.000€ (2014), 475.000€ (2015), 500.000€ (2016), a partir de 2017 la renta fija  se revisará conforme al IPC (Renta 2016 + ipc). RV adicional: si ventas &lt;1.700.000€: no se devenga; de 1.700.000€-1.850.000€ de facturación anual: 5% sobre el exceso de 1,7M€; de 1.850.000€ a 2.000.000€: 7.500€ + 7,5% sobre lo que excede los 1.850.000€; a partir de 2M€: 18.750€ + 10% sobre lo que exceda de 2M€. La RV no se aplicará cuando la RF +IPC llegue a 560.000€</t>
  </si>
  <si>
    <t>RF a actualizar según IPC. + RV adicional de 20% GOP ajustado (GOP - RF- menaje y pequeño utillaje).</t>
  </si>
  <si>
    <t>999.526,9 de renta del hotel + 12.156,66€ del alquiler de un local a un tercero distinto a la propiedad del hotel</t>
  </si>
  <si>
    <t>75% ISTAT price variation index from 01/03/2016</t>
  </si>
  <si>
    <t>Scritura Privativa: free rent from 01/10/2014 to 28/02/2015.
New contrat: extension until 28/02/2022 (right of extension 7+7). Fix rent for 2015: 975.000€ (3 months of free rent) from 01/03/2015 to 29/02/2016. From 01/03/2016 the fix rent will be 1,3M€ + 75% ISTAT.</t>
  </si>
  <si>
    <t>1.300.000 + 75% CPI</t>
  </si>
  <si>
    <t>NH Campo de Gibraltar (NH Algeciras)</t>
  </si>
  <si>
    <t>Reducción a partir de 2014 de RF y hasta 31 de Diciembre 2017: €20.167,70 mensuales (€242.012,40 anuales), congelación IPC de 2014 a 2017. 
Coste 0€ para las plazas de parking de uso del hotel.
A partir de 01 de Enero  2015 si GOP- RF contrato - RV contrato inicial (15% GOP Ajustado -RF-Cánon 4%- menaje y utillaje) = positivo, se volverá a la RF de contrato (2012: €40.335,42 mensuales+IPC). 
A partir del 1 de enero de 2018, se vuelve a la renta de contrato (2012: €40.335,42 mensuales+IPC)
La RV se manteiene desde 2014 a fin de contrato.</t>
  </si>
  <si>
    <t>CPI price variation index / ajuste el 01/Diciembre</t>
  </si>
  <si>
    <t>RF Hotel 2014: 45.329,58€/mes 
Renta Parking 2014: 2.684,96€/mes</t>
  </si>
  <si>
    <t>CPI price variation index / ajuste el 01/enero (Hotel) 1 de Marzo (parking)</t>
  </si>
  <si>
    <t>RV: 32% sobre facturación total de cualquier concepto del hotel (alojamiento, minibar, aparcamiento, alquiler de salas y cualquier servicio prestado facturado a terceros), excepto por la de restauración que será el 50%. RMG Enero 2012: 670.000€, actualizada según IPC a partir de Enero 2014.</t>
  </si>
  <si>
    <t>695.712€ del hotel y 1.750€ de parking</t>
  </si>
  <si>
    <t>CPI price variation index / ajuste el 01/enero (Hotel y parking)</t>
  </si>
  <si>
    <t>Extensión del contrato 6 años adicionales. Reforma de las ventanas a financiar el 50% por cada una de las partes, max. de 205.000€ por parte de la arrendadora. RF sin cambios, 2013: €2.465.591.</t>
  </si>
  <si>
    <t>Renta ordinaria menual: 165.677,57€ desde 01/08/2014 y se acutualizará con ipc (de abril a abril), los meses de julio a partir del 2015.
Bonificación temporal de la renta fija: 
- 2015: 44.752€/mes de julio a diciembre 
- 2016: 26.543€/mes de enero a diciembre 
- 2017: 26.543€/mes de enero a diciembre  
- 2018: 22.376€/mes de enero a diciembre  
- 2019: 10.495€/mes de enero a diciembre 
A partir del 01/07/2023 se actualizará la renta a mercado.
Renta variable adicional: a partir del 01/01/2020
- Factuación bruta anual &gt;5,8M€ &lt;6,2M€ - 10% sobre exceso de 5,8M€
- Factuación bruta anual &gt;6,2M€ &lt;7,2M€ - 15% sobre exceso de 6,2M€ y el punto anterior
- Factuación bruta anual &gt;7,2M€  - 20% sobre exceso de 7,2M€ + los dos puntos anteriores</t>
  </si>
  <si>
    <t>CPI price variation index / a partir de 01/07/2015 con ipc de abril a abril</t>
  </si>
  <si>
    <t>CPI price variation index / a partir del 01 deNoviembre</t>
  </si>
  <si>
    <t>Actualización anual fija del 2% a partir abril de 2015</t>
  </si>
  <si>
    <t>CPI price variation index / a partir del 01/sept</t>
  </si>
  <si>
    <t>CPI price variation index / a partir del 01/enero</t>
  </si>
  <si>
    <t>CPI price variation index / ajuste el 01/september</t>
  </si>
  <si>
    <t>Reducción renta fija a €90.000 mensuales a partir de abril 2014. RF 2014: €395.914 (con reducción €7.500 últimos 9 meses). Renta anual reducida (año completo): €373.414 + actualización anual fija de 2% (1/04/2015+). Pagarés entregados para 2015 por valor de  458.613€ - iva incluido. RV adicional de 20% de las ventas netas que excedan 1.800.000€+ipc (Este importe actualizado a 2014: 1.951.355,9€)</t>
  </si>
  <si>
    <t>CPI price variation index / a partir del 01/01/2012</t>
  </si>
  <si>
    <t>28/02/2021 + posible prórroga a facultad de la propiedad hasta 28/022027 que se renvovará año a año</t>
  </si>
  <si>
    <t xml:space="preserve">The deal consists of 2 parts a ride and a new lease agreement. I will mention both.
Rider
Term 01/01/2014 – 31/21/2017 (this is also the ending date of the old lease agreement
New lease is 23% of revenue with a minimum guarantee of EUR 1.750.000. CPI on minimum first time 01/01/2015
Actual Lease in 2014 is 1.897.000. In 2014 the revenue linked lease is below the minimum guarantee. (147.000 to be returned to NH over 2014+ the difference between actual and agreed for he period 01/01- until signing of the rider)
Signing fee of 250K subject to an investment in the improvement of the hotel of 700K to be borne by NH.
Lessor will invest 750K in the structural improvement of the building
Lease agreement
Term 01/01/2018 – 31/12/2032
Lease is 23% of revenue with a minimum guarantee of EUR 1.650.000. CPI on minimum first time 01/01/2019
</t>
  </si>
  <si>
    <t>Variable with MG</t>
  </si>
  <si>
    <t>NH Sur/Atocha</t>
  </si>
  <si>
    <t>Oficinas Alfonso Gómez</t>
  </si>
  <si>
    <t>Oficinas Santa Engracia</t>
  </si>
  <si>
    <t>Comentario jurídico IPC</t>
  </si>
  <si>
    <t>Reporting de información</t>
  </si>
  <si>
    <t>Auditoría</t>
  </si>
  <si>
    <t>Copia de las auditorías internas de gestión - Semestralmente
Complementariamente, la propiedad tiene derecho a realizar una auditoría externa (trimestralmente) coste a cuenta de la propiedad</t>
  </si>
  <si>
    <t>Si. Prevista la actualización</t>
  </si>
  <si>
    <t>Si. Prevista la actualización de la renta de acuerdo con la variación que experimente el IPC del año anterior</t>
  </si>
  <si>
    <t>No hay comentario de jurídico</t>
  </si>
  <si>
    <t xml:space="preserve">CPI price variation index / ajuste el 01/octubre </t>
  </si>
  <si>
    <t>Si. Prevista actualización</t>
  </si>
  <si>
    <t>Si. Prevista la actualizacionde la renta de acuerdo con la variación que experimente el IPC del año anterior</t>
  </si>
  <si>
    <t>Si. Prevista la actualización de la Renta de acuerdo con la variación que experimente el IPC del año anterior.</t>
  </si>
  <si>
    <t>Si. Prevista la actualización de la renta de acuerdo con la variación que experimente el IPC del año anterior.</t>
  </si>
  <si>
    <t>CPI price variation index / ajuste el 01/febrero</t>
  </si>
  <si>
    <t>Si. Prevista la disminución</t>
  </si>
  <si>
    <t>CPI price variation index / ajuste el 01/mayo</t>
  </si>
  <si>
    <t>Si. La renta fijada en Adenda de 15.02.13, fija la renta para 13-14 y establece que a partir de 1 de enero de 2015, la renta será la total correspondiente a la última no reducida, incrementada mediante acumulada aplicación del incremento por I.PC de dos años consecutivos. Por lo tanto aplicaría el IPC del 13 mas el del 14 .HABRÍA QUE HACER EL CALCULO</t>
  </si>
  <si>
    <t>Jco. Comprobar que se está aplicando el incremento del 20% en años anteriores</t>
  </si>
  <si>
    <t xml:space="preserve"> - </t>
  </si>
  <si>
    <t>CPI price variation index / ajuste el 01/enero y se empieza el marzo del 2022</t>
  </si>
  <si>
    <t>No. IPC alemán.</t>
  </si>
  <si>
    <t>No. Según adenda 12/14 reducción RF en 2015 y aplicar IPC a partir de 2016</t>
  </si>
  <si>
    <t>No. Actualización IPC a partir de abril de 2015</t>
  </si>
  <si>
    <t xml:space="preserve">Interpretamos que Si aunque puede ser discutible. Se acordó en Adenda de fecha 04.12.13. la reducción de la renta y la no aplicación del incremento de IPC durante 2014 y 2015, pero no se excluye aplicación de IPC negativo. No obstante, como contrapartida se acordó una reduccion de la renta fija y variable para ese mismo periodo. </t>
  </si>
  <si>
    <t>Si. Prevista la variación porcentual correspondiente.</t>
  </si>
  <si>
    <t>No. Según adenda 07/14  RF 2014-2016, aplicar a partir de 2017</t>
  </si>
  <si>
    <t>No. Reduccion de renta fijada para anualidad 2015 en Adenda de 16.12.14.La revision a la baja para 2015 de la renta FIJA es discutible, NH puede argumentar que no ha renunciado expresamente a la aplicación de IPC a la baja (aunque implicitamente lo ha hecho por la redacción del parrafo que sigue), lo que suyabce es una negociación de renta FIJA sin revision de IPC.</t>
  </si>
  <si>
    <t>No.Reducción parcial y temporal de la renta en 2014-2016, no IPC</t>
  </si>
  <si>
    <t>Criterio conservador no aplicar. Para la anualidad 2015 y sucesivas se prevé lo siguiente: el precio del arrendamiento que será revisable anualmente y será incrementado de acuerdo al IPC de la siguiente forma: en el supuesto de que el IPC fuera inferior al 5% anual, se incrementará la renta aplicando el refereido indice a la renta correspondiente del último año, mas aquella otra cantidad resultante de aplicar un 15% sobre el IPC referido. En este sentido si consideráramos de aplicación de igual forma el incremento negativo, (no se excluye expresamente el negativo, ya que se habla de inferior a 5%) sería de aplicación una revisión de -1,15%</t>
  </si>
  <si>
    <t>Si. Prevista la revisión.</t>
  </si>
  <si>
    <t>No. Actualización de renta, según última adenda, del 2% anual fijo, no IPC</t>
  </si>
  <si>
    <t>Congelado ipc hasta final del contrato</t>
  </si>
  <si>
    <t>No. Ultima adenda establece la siguiente actualización por IPC será en 01/2017</t>
  </si>
  <si>
    <t>No. Ultima adenda establece la siguiente actualización por IPC será en 01/2016</t>
  </si>
  <si>
    <t>Si. Con ipc de abril a abril</t>
  </si>
  <si>
    <t>No. Adenda de 01.12.14 establece la RF 2019</t>
  </si>
  <si>
    <t>100% CPI price variation index / ajuste el 01/enero</t>
  </si>
  <si>
    <t>No. En adenda pone renta 2015 = renta 2014 Más</t>
  </si>
  <si>
    <t>CPI price variation index / ajuste el 01/diciembre</t>
  </si>
  <si>
    <t>No. Anualidades fijadas en contrato hasta 2017</t>
  </si>
  <si>
    <t>Si. Prevista la actualizacion de la renta de acuerdo con la variación que experimente el IPC del año anterio</t>
  </si>
  <si>
    <t>Dos primeros años de contrato 8,75€/m2 (237.928,92€ anuales pagaderos por mensualidades adelantadas). Finza equivalente a dos mensualidades (39.645,82€) A partir del segundo año, 10,75€ (292.313,68€ anuales pagaderos por mensualidades adelantadas). Además, a partir del 01/01/2010 y durante la vigencia del contrato el arrendatario deberá pagar al mes en concepto de gastos 3€/m2 (sostenimiento y mantenimiento del inmueble; arrendatario responsable de conservación, mantenimiento y reparación de los elementos estructurales del edificio, instalaciones, etc ), gasto que se incrementará anualmente según IPC</t>
  </si>
  <si>
    <t>Alquiler:  203.939,04 € / año; Parking: 16.200,00 € / año</t>
  </si>
  <si>
    <t>RF anual: 725.721,12€ (60.476,76 €/ mes) pagadero por mensualidades anticipadas, y, acomodada (a partir del segundo año) a variaciones del IPC. Fianza 60.476,76 €/ mes. La arrendataria abonará los gastos de mantenimiento y conservación del inmueble así como, de forma mensual y por adelantado, una cantidad igual a la doceava parte del importe previsto en las cargas para el año en curso (provisión primer año 5,50€)</t>
  </si>
  <si>
    <t>Diciembre 2012,2015,2018: Ajustar a renta de mercado mín 80% max 20%</t>
  </si>
  <si>
    <t>Alquiler:  782.093,16 € / año; 36 plazas de garaje: 64.767,96 € / año; 14 plazas garaje: 25.043,40 € / año; Comunidad: 196.725,48 € / año</t>
  </si>
  <si>
    <t xml:space="preserve">Carta de resolución firmada  y terminación efectiva a 01/03/2015 </t>
  </si>
  <si>
    <t>La renta para 2015 será de 139.335€  que corresponde a la renta pagada de Enero a Junio. La renta de 2017 hasta la finalización del contrato será de 100.000€ y se actualizará con ipc en enero de cada año</t>
  </si>
  <si>
    <t>CPI price variation index / ajuste el 01/Enero</t>
  </si>
  <si>
    <t>2.352.159 + CPI - 455.443 (bonificación)</t>
  </si>
  <si>
    <t>2.475.956€ + IPC - 455.443 (bonificación)</t>
  </si>
  <si>
    <t>Previous year + CPI - 455.443 (bonificación)</t>
  </si>
  <si>
    <t>Previous year + CPI - 220.507 ( bonificación)</t>
  </si>
  <si>
    <t>Reducción RF 2013-2016: 1.856.967€ (2013), 1.856.967€ (2014), 2.352.159€ (2015), 2.352.159€ + IPC (2016), 2.475.956€ + IPC (2017+). Bonificación adicional de la renta de 2015 a 2018 como contrapartida de compromiso de inversión de 2,4 M€:  552.159€ (2015), 455.443€ (2016),  455.443€ (2017),  455.443€ (2018) y 220.507€ (2019). Por lo que la renta para 2015 resultante es de 1.800.000€
En caso de prórroga del contrato a partir del 15/12/2020 la renta será de 2M€ para el primer año y luego + ipc para segundo y tercero de prórroga</t>
  </si>
  <si>
    <t>RF a actualizar anualmente según IPC</t>
  </si>
  <si>
    <t>RF: 1.900.000€ actualizable según IPC. RV adicional: 500.000€ (máximo) sobre GOP ajustado (GOP- Capex-menaje y pequeño utillaje-RF-Canon 4%), una vez cubiertos los 500.000€ sobre exceso de 500.000€ es a favor de la arrendataria. Si GOP ajustado  inferior a esa suma RV= 100% GOP ajustado. RV actualizable según IPC. 
El arrendatario invierte 937.900€ a través de bonificación de la renta variable hasta alcanzar dicho importe. Si llegados al 22/02/2027 no se ha alcanzado dicho importe  se descontará de la renta fija del último año, del 22/02/2027 al 22/02/2028.</t>
  </si>
  <si>
    <t>Enviar a la propiedad cuenta de explotación semestral</t>
  </si>
  <si>
    <t>Acuerdo retroactivo al 01/01/2014. RF: se mantiene la RF de 2013, de €750k, de 2014 a 2018 ambos incluidos; revisión según IPC a partir de 01/01/2015. En 2018 se revisará la renta según mercado y será de aplicación a partir del 2019.
RV adicional  a partir del 01/01/2014: 25% GOP ajustado (GOP- Capex-menaje y pequeño utillaje-RF-Canon 4%). La renta se revisará a precios de mercado a partir de 2018.</t>
  </si>
  <si>
    <t>Mensualmente copia de la cuenta de explotación</t>
  </si>
  <si>
    <t>No hay exigencia de auditoría interna, pero la propiedad puede solicitar una auditoría externa a su coste</t>
  </si>
  <si>
    <t>Revisión de renta a precios de mercado</t>
  </si>
  <si>
    <t>RF para 2014: renta 2013 +IPC (hasta 31/03/2014). Renta a partir del 01/04/2014: RV del 30% sobre ventas netas (cualquier concepto).
Si antes del 30/09/2015 no se ha vendido el activo se fija una nueva renta</t>
  </si>
  <si>
    <t>Facturación mensual del mes anterior, enviar los 5 primeros dias de cada mes</t>
  </si>
  <si>
    <t>NH Pacifico/NH Madrid Sur</t>
  </si>
  <si>
    <t>Reducción RF a  404.700€ (2013 y 2014). RV adicional: 30% GOP ajustado (GOP- Capex-menaje y pequeño utillaje-RF-Canon 5%). A partir de 2015 se recupera RF contrato (2012) con los IPCs acumulados durante los dos últimos años (Renta 2015: 441.792€)+ RV adicional del 30% GOP ajustado (GOP- Capex-menaje y pequeño utillaje-RF-Canon 5%).</t>
  </si>
  <si>
    <t>NH Palacio de Ferrera/Avilés</t>
  </si>
  <si>
    <t>NH Obradoiro/Collection Santiago</t>
  </si>
  <si>
    <t>RF: 20% descuento sobre renta 2009 = €553.030,46 (2014 y 2015), no actualización IPC durante este periodo. A partir del 01/01/2016 la renta que se devengará será la que se venía abonando en diciembre de 2009 (691.288€) sin que sea de aplicación el ipc y se devengarán según se estipula en el contrato de arrendamiento.
RV adicional: no se aplica en 2014 y 2015, 25% GOP ajustado (GOP- Capex-menaje y pequeño utillaje-RF-Canon 4%) a partir de 2016.</t>
  </si>
  <si>
    <t>NH Forum/ NH Entenza</t>
  </si>
  <si>
    <t>NH Rallye/ Bcn Stadium</t>
  </si>
  <si>
    <t>Se reduce la renta temporalmente durante 3 años:
Renta 2015: 228.327,76 + 730.066,72
Renta 2016: 241.012,64 + 770.625,98
Renta 2017: 253.697,52 + 811.185,24
A partir de 2018 se recupera renta de contrato</t>
  </si>
  <si>
    <t>NH Numancia/NH Sants Barcelona</t>
  </si>
  <si>
    <t>Se reduce la renta fija: 2015: 420.000€, 2016: 445.000€. 2017: 445.000€ + ipc. 
Limitación RV: la renta variable sumada a la renta fija no podrá ser superior al 70% del GOP (25% GOP- RF- 4% Cánon)
Se extiende el contrato 1 año hasta el 2020</t>
  </si>
  <si>
    <t>NH Master/NH Eixample</t>
  </si>
  <si>
    <t>NH Cristal/NH Rambla de Alicante</t>
  </si>
  <si>
    <t>NH Central Convenciones/NH Collection Sevilla</t>
  </si>
  <si>
    <t>NH Embajada/NH Alonso Martínez</t>
  </si>
  <si>
    <t>NH Collection Amistad Córdoba</t>
  </si>
  <si>
    <t>NH Parque Avenidas/Ventas</t>
  </si>
  <si>
    <t>NH München Am Ring/ City Sud</t>
  </si>
  <si>
    <t>NH Berlin Frankfurter Allee/City Ost</t>
  </si>
  <si>
    <t>NH Rex/Geneva</t>
  </si>
  <si>
    <t xml:space="preserve">Prórroga hasta 02/11/2031. RF actualizada con IPC. </t>
  </si>
  <si>
    <t>De Abril- Dic 2014: RF= 1.449.000 + RV= 4,5%* ingresos netos para todo el 2014. totales / 2015: RF= 1.948.000 + RV= 4,5%* ingresos netos totales / 2016: RF= 1.977.000 + RV= 9,5%* ingresos netos totales /  2017: RF= 2.019.000 + RV= 9,5%* ingresos netos totales  / 2018: RF= 2.061.000 + RV= 9,5%* ingresos netos totales /  2019: RF= 2.092.000 + RV= 9,5%* ingresos netos totales. Posible extensión a 31/12/2022
En caso de extensión la renta será: 
2020: RF= 2.250.000 + RV= 9,5%* ingresos netos totales
2021: RF= 2.320.000 + RV= 9,5%* ingresos netos totales
2022: RF= 2.390.000 + RV= 9,5%* ingresos netos totales</t>
  </si>
  <si>
    <r>
      <rPr>
        <u/>
        <sz val="10"/>
        <rFont val="Calibri"/>
        <family val="2"/>
      </rPr>
      <t>Reducción RF</t>
    </r>
    <r>
      <rPr>
        <sz val="10"/>
        <rFont val="Calibri"/>
        <family val="2"/>
      </rPr>
      <t xml:space="preserve">, retroactiva al 01/01/2014, a €564.000. En 2014 la renta no se actualiza con ipc, a partir del 01/01/2015 la renta se actualiza con ipc de acuerdo al contrato principal
</t>
    </r>
    <r>
      <rPr>
        <u/>
        <sz val="10"/>
        <rFont val="Calibri"/>
        <family val="2"/>
      </rPr>
      <t>Compromiso de reforma</t>
    </r>
    <r>
      <rPr>
        <sz val="10"/>
        <rFont val="Calibri"/>
        <family val="2"/>
      </rPr>
      <t xml:space="preserve"> al 50%-50% (con un máximo para la propiedad de 300.000€). La reforma deberá realizarse antes del 30 de Junio de 2018. 
</t>
    </r>
    <r>
      <rPr>
        <u/>
        <sz val="10"/>
        <rFont val="Calibri"/>
        <family val="2"/>
      </rPr>
      <t>RV adicional:</t>
    </r>
    <r>
      <rPr>
        <sz val="10"/>
        <rFont val="Calibri"/>
        <family val="2"/>
      </rPr>
      <t xml:space="preserve"> 20% GOP ajustado (GOP- Capex-menaje y pequeño utillaje-RF-Canon 4%), RV congelada desde 01 de Enero de 2014 hasta fin de reforma. Se retomará el devengo de variable a partir del ejercicio siguiente de la terminación de la reforma. (Ej: si la reforma acaba en Nov. 2018, la renta variable se devengará a partir de Enero 2019). No obstante a lo anterior, la renta variable del parking seguirá vigente y se devengará según estipula el CA.
</t>
    </r>
    <r>
      <rPr>
        <u/>
        <sz val="10"/>
        <rFont val="Calibri"/>
        <family val="2"/>
      </rPr>
      <t>Renta del Garaje: 4</t>
    </r>
    <r>
      <rPr>
        <sz val="10"/>
        <rFont val="Calibri"/>
        <family val="2"/>
      </rPr>
      <t>0% de las ventas del Garaje</t>
    </r>
  </si>
  <si>
    <t>Sobre ventas brutas anuales: 25% si estas iguales o inferiores a 2M€; 28%, si éstas entre 2M€-2.2M€, en el tramo que exceda los 2M€; 30%, si éstas entre 2.2M€-2.6M€, en el tramo que exceda los 2.2M€; 50% sobre el importe superior a 2.6M€.   
1/01/2018-31/12/2020: en caso de que el EBITDA anual, de ambos hoteles (conjuntamente) sea negativo, la renta se reducirá hasta dejar a 0 el EBITDA, con un máx de 50,000€/hotel, sin superar los 100,000€.</t>
  </si>
  <si>
    <t>Sobre ventas brutas anuales: 25% si estas iguales o inferiores a 2M€; 28%, si éstas entre 2M€-2.2M€, en el tramo que exceda los 2M€; 30%, si éstas entre 2.2M€-2.6M€, en el tramo que exceda los 2.2M€; 50% sobre el importe superior a 2.6M€. 
 1/01/2018-31/12/2020: en caso de que el EBITDA anual, de ambos hoteles (conjuntamente) sea negativo, la renta se reducirá hasta dejar a 0 el EBITDA, con un máx de 50,000€/hotel, sin superar los 100,000€.</t>
  </si>
  <si>
    <t>Adenda 04/09/2015: Misma RF que en 2013 para 2015: 53.280,22€, siendo esta renta aplicable hasta fin de contrato (6/05/2028), sin que sea de aplicación ningún tipo de actualización. 
En caso de que tenga lugar la Compraventa Autorizada del hotel NH Balboa, el contrato de NH Toro quedará resuelto, sin que se devengue ninguna indemnización.
Salvo las modificaciones apuntadas en la adenda del 4 de sep.2015 el resto del contrato suscrito el 12/01/1998, se mantiene en vigor.</t>
  </si>
  <si>
    <t xml:space="preserve">RV: calculada por tramos (30%- 40%) sobre las Ventas anuales brutas, con un mínimo garantizado de 900.000€ actualizado anualmente con ipc (2014-2021). A partir del 30/06/2021 la arrendadora podrá extender el régimen de renta variable o volver al de renta fija existente con anterioridad a la presente adenda (renta de mercado).
Adenda 04/09/2015-NH renuncia derecho de adquisición preferente, siempre y cuando el precio de venta sea &gt; 23M€ y se formalice antes del 31/12/2016. en caso de que se formalice la Compraventa Autorizada, la Arrendataria acepta la terminación anticipada del Contrato de Arrendamiento con efectos 31/12/2016, sin derecho a reclamar ninguna indemnización por dicha terminación anticipada.
</t>
  </si>
  <si>
    <t>Reducción RF: 595.300€ (2013 y 2014). RF de 2015 en adelante igual a renta 2012 +IPC 2013-2014. RV adicional: 25%, (2013 y 2014), 30% (2015 en adelante) GOP ajustado (GOP- Capex-menaje y pequeño utillaje-RF-Canon 5%).</t>
  </si>
  <si>
    <t>RV: 18% of quarterly gross revenue, MG of 18.453.000 pesos</t>
  </si>
  <si>
    <t>RV: 21% of quarterly gross revenue, MG of 40.000 USD</t>
  </si>
  <si>
    <t>(1708100Mex$+85703Mex$)</t>
  </si>
  <si>
    <t>Enviar a la propiedad informe de auditoría anual. Se mandarán una vez auditadas la cuentas de la Cía.</t>
  </si>
  <si>
    <t>Posible prórroga contrato hasta 10/03/2030. RF de 988.965€ para el periodo 2012 y 2013. Al haberse hecho un descuento de la renta en 2012 y 2013, se tiene que incrementar la renta por dicha  compensación a lo largo del  2014 y 2015 (154.437€ a lo largo de 24 meses). La renta  fija para  2014 es 2013+IPC + ajustes anteriores (89.996+ 6.434 al mes). RV adicional: 18% GOP ajustado (GOP-RF- menaje y pequeño utillaje)</t>
  </si>
  <si>
    <t>Cuenta de explotación anual</t>
  </si>
  <si>
    <t>1.451.537€  de renta fija</t>
  </si>
  <si>
    <t>25/09/2015</t>
  </si>
  <si>
    <t>N/a</t>
  </si>
  <si>
    <t>31/12/2016</t>
  </si>
  <si>
    <t>180,000+ IPC</t>
  </si>
  <si>
    <t>Cuenta de explotación y contabilidad analítica del 2015.
A partir de Febroro de 2016, se entregará cada mes (primero 15 dias de cada mes siguiente) la cuenta de expotación del mes anterior + contabilidad propia de la explotación hasta Enero 2017.</t>
  </si>
  <si>
    <t>Con efectos retroactivos al 01/01/2014, reducción de RF en: €600k (2014 y 2015), €266.667 (2016, 2017 y 2018), renta contrato a partir de 2019 (RF 2013 ajustada según variación acumulada de IPC). RV adicional: 15% GOP ajustado (GOP- Capex-menaje y pequeño utillaje-RF-Canon 4%)
Queda pte.de liquidar la reserva especial (3% de facturación total neta del periodo 2006-2009)</t>
  </si>
  <si>
    <t>04/09/2015: Durante el periodo 01/01/2018-31/12/2020 si el EBITDA anual de NH CV y NH Alcorcón  conjuntamente sea negativo , la renta se reducirá hasta dejar a cero el EBITDA , con un máximo de 50,000€ para cada uno de los hoteles , no pudiendo superar la reduccion en conjunto de 100,000€.
RV: calculada por tramos (20%- 40%) sobre las ventas anuales brutas, con un mínimo garantizado de 300.000€, actualización anual IPC - (2014-2021). A partir del 30/06/2021 la arrendadora puede optar por extender el régimen de renta variable o volver al de renta fija existente con anterioridad a la presente adenda (renta de mercado).</t>
  </si>
  <si>
    <t>Se establece un periodo de carencia de 5 meses y medio (01/09/2013 a 15/02/2014) en contrapartida a la inversión a realizar por NH por reforma por importe de 3.526.847,06 € (min). RF contrato a actualizar según IPC a partir del 01/01/2003. Renta CA 2002: 2.061.471,52€. Renta 2012: 2.713.801€. Renta 2013: 1.861.072€.
05/10/2014: Se compromete la arrendataria a hacer modificaciones por un importe  minimo de 3.526.231,28€. Llevar a cabo inversiones  por un importe máximo de 25.000€ (ninguno de  los importes incluyen IVA, ni cualquier otro impuesto)</t>
  </si>
  <si>
    <t>BU Spain, Portugal 
&amp; Andorra</t>
  </si>
  <si>
    <t>RF determinada en última adenda RF 2014: 718.000€, Renta 2015: 785.686€. RV adicional: 20% sobre facturación superior a 3M€.
Terminación anticipada del contrato. Salida Julio 2015.</t>
  </si>
  <si>
    <t>RV: 30% ventas anuales totales
Finalización del contrato 2 Sept 2015. Hemos salido.</t>
  </si>
  <si>
    <t>Desde noviembre 2011: 348.000€ anuales, a actualizar 50% IPC a partir del 1 de enero de 2013.
Finalización del contrato el 31. 08. 2015. Hemos salido</t>
  </si>
  <si>
    <t>Acuerdo de Terminación. Bonificación 50% de la renta vigente de agosto a Noviembre y Diciembre 0€ de renta. 
Hemos salido el 31. 12. 2014</t>
  </si>
  <si>
    <t>Reducción RF, quedando en €105.000 (2014); a partir de 2015: €180.000+ actualización anual de IPC. Prórroga de un año a voluntad de la arrendadora, en cuyo caso la renta será sólo RV= 100% GOP pactado (GOP- Capex-menaje y pequeño utillaje-RF-Canon 5%)
Se ha prorrogado el contrato hasta finales del 2016.</t>
  </si>
  <si>
    <t>Hasta el 01 de Julio 2015 (contrato antiguo: 220.006€) RF actualizable según IPC. RV: 5% facturación bruta.
A partir del 1 de Julio de 2015 (Contrato nuevo): RF de 290.000€,  actualizar según IPC a partir de julio de 2016. Durante Julio, Agosto, Sept  de 2015 se pagará el 50% de RF. RV adicional del 5% facturación bruta. En 2015 sólo se computaran los ingresos brutos para RV del 01 de Julio 2015 al 31 de Dic. 2015. No obstante como el contrato anterior con vigencia hasta el 01 de Julio de 2015 también contemplaba renta variable del 5% se mantiene para todo el año 2015.</t>
  </si>
  <si>
    <t>IPC portugues</t>
  </si>
  <si>
    <t>Variable /Ventas</t>
  </si>
  <si>
    <t>RF (780k€) a actualizar según IPC --&gt; actúa como un CAP es lo máximo que pago
Cada bienio a contar desde 01/01/2006 se compara la renta de los dos años anteriores (30% de la facturación bruta de los dos años), si ésta fuera inferior a la renta pagada la Propiedad se compromete a compensar/devolver la diferencia a NH. 
Es decir, yo pago la renta variable que toque pero esta nunca podrá ser superior al CAP</t>
  </si>
  <si>
    <t>30% de las ventas</t>
  </si>
  <si>
    <t>959.700€  (es el CAP)</t>
  </si>
  <si>
    <t>914.334€ del hotel + 31.800€ del parking</t>
  </si>
  <si>
    <t>900.000€ del hotel + 31.800€ de parking</t>
  </si>
  <si>
    <t>Se establece desde enero 2014 hasta el final del contrato
RF: €900.000 sin actualización (2014-2016), a partir de 2017 €900.000 + €50.000 adicionales y a partir de Enero 2018 los 950k€+IPC
RV adicional: 25% (2014-2016)   sobre ventas netas que excedan €4.750.000. y un  15% de 2017 a fin de contrato  sobre ventas netas que excedan €4.750.000. Si las ventas son inferiores no se devengará RV alguna</t>
  </si>
  <si>
    <t>950.000€ del hotel + 31.800€ de parking</t>
  </si>
  <si>
    <t>950.000€ del hotel + ipc + 31.800€ de parking</t>
  </si>
  <si>
    <t>NH Las Artes y Las Ciencias - aplica a los dos hoteles de forma conjunta</t>
  </si>
  <si>
    <t>Reducción temporal del 5% sobre la RMG 4T 2013, 2014 y 2015. RMG 2013: €4.004.358,27. La renta para 2015 es la de 2014 + ipc. La RV es 33,33% sobre ventas netas.
A partir de 2016 volvemos ala renta MG del contrato original: 337.921€ al mes + el ipc de Enero 2013 a Diciembre 2015</t>
  </si>
  <si>
    <t>Volvemos a la renta de contrato</t>
  </si>
  <si>
    <t>1.351.286€ del Hotel + 38.957€ del parking</t>
  </si>
  <si>
    <t>Se vuelve a la renta del contrato inicial</t>
  </si>
  <si>
    <t>1.829.130,38€ + CPI acumulado de Enero 2014 a Diciembre 2015</t>
  </si>
  <si>
    <t>Bonificación temporal de RMG, resultando en: 731.788€ /anuales (2014), la renta 2014 + IPC (2015). Fin bonificación en 2016 donde tomamos la renta de 2013 (70.337€/mes) y la actualizamos con el IPC de 2014-2015.  RV: 30% de las ventas, excluidas la ventas de parking.</t>
  </si>
  <si>
    <t>Se establece, aplicable retroactivamente desde enero 2014  a Dic 2019 RF: €320.000 .A partir de  1 de enero 2020: renta 2013 actualizada con IPC hasta 2020, menos €35.000  (€347.000= Renta 2013; base para actualizar a 2020 );  +IPC (2021+). RV adicional anual (a partir de 2014, inclusive) de 3% ingresos netos totales que excedan €1.250.000, este umbral no se actualiza con ipc</t>
  </si>
  <si>
    <t xml:space="preserve">Adenda 19/12/2013 RV: calculada por tramos (25%- 50%) sobre las Ventas anuales brutas, con un mínimo garantizado de 500.000€ que se actualizará anualmente con IPC (2014-2021).  
Devengo de la renta: Mensualidades anticipadas 41666,66€.
Adenda 4/09/2015: Siempre y cuando se finalice el contrado NH Balboa --&gt;Durante el periodo comprendido 1/01/2018-31/12/2020: en caso de que el EBITDA anual, de ambos hoteles, NH Ciudad de Valladolid y NH Alcorcón (conjuntamente) sea negativo, la renta se reducirá hasta dejar a 0 el EBITDA, con un máx de 50,000€/hotel, sin superar los 100,000€. </t>
  </si>
  <si>
    <t xml:space="preserve">En 2015 efectos desde 01/03/2015 renta fija de 1,4M€. Se congela el ipc de 01/03/2015 a 28/02/2021. 
A partir del 01/03/2015: renta = 25% ventas brutas con un MG 1.300.000€ que se actualizará anualmente el 01de marzo de cada año empezando en Marzo 2022. Se excluye a NH el pago del IBI. A partir del 01/03/2021 las partes no estarán obligadas a contribuir con el 1% sobre la facturación bruta a dotación permanente de instalaciones hoteleras. </t>
  </si>
  <si>
    <t xml:space="preserve">Modificacion renta pactada: sobre la facturación corregida sin IVA del año inmediatamente anterior, denominada facturación de referencia renta, se aplicará el "% of sales" acordado. Mecanismo de control: compará el incremento anual del RevPar del hotel con el incremento anual del RevPar de referencia. Control de facturación del hotel por conceptos distintos al de alojamiento (min. 17,5%, si no ajuste) en el supuesto de franquicia, subarriendo o cesión de la gestión. Reducción renta 2013 equivalente al importe del ultimo trimestre de ese ejercicio. Renta 2014: 447.600€. 
A partir del 01/01/22, cualquiera de las partes podrá resolver el C.A sin penalización económica, previo aviso con al  menos un año de antelación.
</t>
  </si>
  <si>
    <t>RF a actualizar según IPC. RF 2013: 411.640€. RV adicional de 20% GOP ajustado (GOP- Capex-menaje y pequeño utillaje-RF-Canon 4%).
RF a partir del 01/10/2015:34.597,15€/mes (revisión ipc negativo del 01/08/14-01/08/15: -0,4%).</t>
  </si>
  <si>
    <t>Modificación Renta pactada, que ascenderá al mayor de los siguientes importes: 23% Ingresos Netos (Ventas) por explotación hotel, impuestos incluidos, o €40.000/mensuales (en la adenda no indica que se actualize la R.M.G con ipc, pero por contratos anteriores se entiende que sí se actualiza)  Se extiende el contrato 2 años.</t>
  </si>
  <si>
    <t>Con efectos retroactivos a enero 2014, reducción de RF en: €950k (2014), €650k (2015), 491.667€ (2016 -2017) y €416.667 (2018) sobre la renta de contrato, a partir de enero 2019 volvemos a la renta de contrato. RV adicional: 18% GOP ajustado (GOP- Capex-menaje y pequeño utillaje-RF-Canon 4%). 
Sigue siendo de aplicación la renta variable fijada en la adenda de 2010 la cual es adicional abonar a la renta fija anual y dice lo siguiente: hasta que la propiedad no recupere la rebaja de renta fija de 1M€ que se realizó de 2010 a 2013 se pagará una renta variable del 82%, es decir que si se genera RV pagamos por un lado el 18% y por otro lado el restante 82%, es decir Ebitda antes de cánones =0.
La renta fija de 2015 sin la bonificación es de 2.377.521,35€</t>
  </si>
  <si>
    <t>2.377.521,35 + el ipc de 2015 a 2017 - 416.667€</t>
  </si>
  <si>
    <t>18% GOP ajustado + 82% de GOP hasta que no se recupere el 1M€</t>
  </si>
  <si>
    <t>2.377.521,35 + el ipc de 2015 a 2018</t>
  </si>
  <si>
    <r>
      <t xml:space="preserve">Reducción temporal de rentas sobre la renta vigente del CA de 1998, por importes de: 240.000€ (2014), 120.000€ (2015), 60.000€ (2016). En adelante, la renta establecida en CA
</t>
    </r>
    <r>
      <rPr>
        <b/>
        <sz val="10"/>
        <rFont val="Calibri"/>
        <family val="2"/>
      </rPr>
      <t>AD 1/1/2016:</t>
    </r>
    <r>
      <rPr>
        <sz val="10"/>
        <rFont val="Calibri"/>
        <family val="2"/>
      </rPr>
      <t xml:space="preserve"> Duración del contrato hasta 31/12/2025. Renta: 146.000€ derogada la cláusula de revición del IPC. La parte arrendataria, así como el fiador solidario NH HOTELES, se comprometen a no reiterar o insistir en solicitar reducciones de la renta por aplicación de la cláusula "rebus sic stantibus" ni por cualquier otra circunstancia.</t>
    </r>
  </si>
  <si>
    <t>146.000€/mes (IVA no incluido)</t>
  </si>
  <si>
    <t>Fixed + RV s/Ventas</t>
  </si>
  <si>
    <t>NH Collection Victoria</t>
  </si>
  <si>
    <t>Right of extension</t>
  </si>
  <si>
    <t>Basket</t>
  </si>
  <si>
    <t>CPI update  (date and way to calculate)</t>
  </si>
  <si>
    <t>Property tax</t>
  </si>
  <si>
    <t>Insurance</t>
  </si>
  <si>
    <t>FF&amp;E Reserve</t>
  </si>
  <si>
    <t>Type of contract</t>
  </si>
  <si>
    <t>Fix</t>
  </si>
  <si>
    <t>Fix + Variable</t>
  </si>
  <si>
    <t>Summary of last signed addendum conditions</t>
  </si>
  <si>
    <t>Contract End  Date</t>
  </si>
  <si>
    <t>Payment method (frequency and instrument)</t>
  </si>
  <si>
    <t>Landlord</t>
  </si>
  <si>
    <t>Reporting information (type and frequency)</t>
  </si>
  <si>
    <t>Audit Report (internal or external)</t>
  </si>
  <si>
    <t>Rent Review Clause</t>
  </si>
  <si>
    <t>Lease Commencement  Date</t>
  </si>
  <si>
    <t>Mother Company Guarantee - characteristics</t>
  </si>
  <si>
    <t>Bank Guarantee - characteristics</t>
  </si>
  <si>
    <t>Las celdas marcadas en azul deberían ser opciones desplegables s/ pestaña desplegables</t>
  </si>
  <si>
    <t>Purchase option (Y/N, price or way to calculate it)</t>
  </si>
  <si>
    <t>Change of control provision</t>
  </si>
  <si>
    <t>Conditions of assignment of agreement to third parties/Increase of rent</t>
  </si>
  <si>
    <t>Country</t>
  </si>
  <si>
    <t>Mainteinance (ordinary &amp;extraordinary) Landlord</t>
  </si>
  <si>
    <t>Mainteinance (ordinary &amp;extraordinary) Tenant</t>
  </si>
  <si>
    <t xml:space="preserve">Special investment by the landlord </t>
  </si>
  <si>
    <t xml:space="preserve">Special investment by the tenant </t>
  </si>
  <si>
    <t>Conditions of assignment of the agreement to NH Group companies/increase of rent</t>
  </si>
  <si>
    <t>Conditions to Change the current brand NH/naming of the hotel</t>
  </si>
  <si>
    <t>Exit Window or rights of termination (by landlord or tenant)</t>
  </si>
  <si>
    <t>Cost of exit window/termination (penalty by landlord or by tenant)</t>
  </si>
  <si>
    <t>Tenant</t>
  </si>
  <si>
    <t>Address</t>
  </si>
  <si>
    <t xml:space="preserve">Extension already exercised </t>
  </si>
  <si>
    <t>Currency</t>
  </si>
  <si>
    <t>Rent free period</t>
  </si>
  <si>
    <t>Interest</t>
  </si>
  <si>
    <t>Other expenditures</t>
  </si>
  <si>
    <t>Reimburse Expenses</t>
  </si>
  <si>
    <t>Sublease</t>
  </si>
  <si>
    <t>Deposit</t>
  </si>
  <si>
    <t>Any other comment</t>
  </si>
  <si>
    <t>Bu</t>
  </si>
  <si>
    <t>Spain</t>
  </si>
  <si>
    <t>Benelux</t>
  </si>
  <si>
    <t>Italy</t>
  </si>
  <si>
    <t>Central Europe</t>
  </si>
  <si>
    <t>Latam</t>
  </si>
  <si>
    <t>Royal</t>
  </si>
  <si>
    <t>Nuevo centro SAP</t>
  </si>
  <si>
    <t>CURRENT Center Name SAP</t>
  </si>
  <si>
    <t>0201</t>
  </si>
  <si>
    <t>0202</t>
  </si>
  <si>
    <t>0203</t>
  </si>
  <si>
    <t>0204</t>
  </si>
  <si>
    <t>0242</t>
  </si>
  <si>
    <t>0345</t>
  </si>
  <si>
    <t>0346</t>
  </si>
  <si>
    <t>0407</t>
  </si>
  <si>
    <t>0408</t>
  </si>
  <si>
    <t>0627</t>
  </si>
  <si>
    <t>0760</t>
  </si>
  <si>
    <t>0753</t>
  </si>
  <si>
    <t>0758</t>
  </si>
  <si>
    <t>0339</t>
  </si>
  <si>
    <t>0375</t>
  </si>
  <si>
    <t>0216</t>
  </si>
  <si>
    <t>0247</t>
  </si>
  <si>
    <t>0245</t>
  </si>
  <si>
    <t>0215</t>
  </si>
  <si>
    <t>0243</t>
  </si>
  <si>
    <t>0217</t>
  </si>
  <si>
    <t>0244</t>
  </si>
  <si>
    <t>0213</t>
  </si>
  <si>
    <t>0222</t>
  </si>
  <si>
    <t>0232</t>
  </si>
  <si>
    <t>0235</t>
  </si>
  <si>
    <t>0315</t>
  </si>
  <si>
    <t>0372</t>
  </si>
  <si>
    <t>0211</t>
  </si>
  <si>
    <t>0209</t>
  </si>
  <si>
    <t>0210</t>
  </si>
  <si>
    <t>0221</t>
  </si>
  <si>
    <t>0208</t>
  </si>
  <si>
    <t>0241</t>
  </si>
  <si>
    <t>0207</t>
  </si>
  <si>
    <t>0471</t>
  </si>
  <si>
    <t>0214</t>
  </si>
  <si>
    <t>0234</t>
  </si>
  <si>
    <t>0246</t>
  </si>
  <si>
    <t>0219</t>
  </si>
  <si>
    <t>0200</t>
  </si>
  <si>
    <t>0250</t>
  </si>
  <si>
    <t>0660</t>
  </si>
  <si>
    <t>0218</t>
  </si>
  <si>
    <t>0212</t>
  </si>
  <si>
    <t>0340</t>
  </si>
  <si>
    <t>0759</t>
  </si>
  <si>
    <t>0662</t>
  </si>
  <si>
    <t>0623</t>
  </si>
  <si>
    <t>0426</t>
  </si>
  <si>
    <t>0036</t>
  </si>
  <si>
    <t>0750</t>
  </si>
  <si>
    <t>0751</t>
  </si>
  <si>
    <t>0410</t>
  </si>
  <si>
    <t>0411</t>
  </si>
  <si>
    <t>0413</t>
  </si>
  <si>
    <t>0414</t>
  </si>
  <si>
    <t>0415</t>
  </si>
  <si>
    <t>0657</t>
  </si>
  <si>
    <t>0451</t>
  </si>
  <si>
    <t>0469</t>
  </si>
  <si>
    <t>0181</t>
  </si>
  <si>
    <t>0182</t>
  </si>
  <si>
    <t>0183</t>
  </si>
  <si>
    <t>0184</t>
  </si>
  <si>
    <t>0185</t>
  </si>
  <si>
    <t>0186</t>
  </si>
  <si>
    <t>0187</t>
  </si>
  <si>
    <t>0188</t>
  </si>
  <si>
    <t>0189</t>
  </si>
  <si>
    <t>0190</t>
  </si>
  <si>
    <t>0191</t>
  </si>
  <si>
    <t>0192</t>
  </si>
  <si>
    <t>0193</t>
  </si>
  <si>
    <t>0194</t>
  </si>
  <si>
    <t>0195</t>
  </si>
  <si>
    <t>0197</t>
  </si>
  <si>
    <t>0198</t>
  </si>
  <si>
    <t>0237</t>
  </si>
  <si>
    <t>0239</t>
  </si>
  <si>
    <t>0252</t>
  </si>
  <si>
    <t>0255</t>
  </si>
  <si>
    <t>0256</t>
  </si>
  <si>
    <t>0257</t>
  </si>
  <si>
    <t>0260</t>
  </si>
  <si>
    <t>0261</t>
  </si>
  <si>
    <t>0262</t>
  </si>
  <si>
    <t>0263</t>
  </si>
  <si>
    <t>0264</t>
  </si>
  <si>
    <t>0265</t>
  </si>
  <si>
    <t>0266</t>
  </si>
  <si>
    <t>0268</t>
  </si>
  <si>
    <t>0269</t>
  </si>
  <si>
    <t>0270</t>
  </si>
  <si>
    <t>0271</t>
  </si>
  <si>
    <t>0272</t>
  </si>
  <si>
    <t>0273</t>
  </si>
  <si>
    <t>0274</t>
  </si>
  <si>
    <t>0275</t>
  </si>
  <si>
    <t>0276</t>
  </si>
  <si>
    <t>0277</t>
  </si>
  <si>
    <t>0278</t>
  </si>
  <si>
    <t>0279</t>
  </si>
  <si>
    <t>0280</t>
  </si>
  <si>
    <t>0281</t>
  </si>
  <si>
    <t>0282</t>
  </si>
  <si>
    <t>0283</t>
  </si>
  <si>
    <t>0285</t>
  </si>
  <si>
    <t>0290</t>
  </si>
  <si>
    <t>0325</t>
  </si>
  <si>
    <t>0337</t>
  </si>
  <si>
    <t>0419</t>
  </si>
  <si>
    <t>0457</t>
  </si>
  <si>
    <t>0458</t>
  </si>
  <si>
    <t>0443</t>
  </si>
  <si>
    <t>0442</t>
  </si>
  <si>
    <t>0460</t>
  </si>
  <si>
    <t>0258</t>
  </si>
  <si>
    <t>0772</t>
  </si>
  <si>
    <t>0773</t>
  </si>
  <si>
    <t>0291</t>
  </si>
  <si>
    <t>0347</t>
  </si>
  <si>
    <t>0329</t>
  </si>
  <si>
    <t>0330</t>
  </si>
  <si>
    <t>0363</t>
  </si>
  <si>
    <t>0176</t>
  </si>
  <si>
    <t>0178</t>
  </si>
  <si>
    <t>0180</t>
  </si>
  <si>
    <t>0254</t>
  </si>
  <si>
    <t>0774</t>
  </si>
  <si>
    <t>0577</t>
  </si>
  <si>
    <t>0519</t>
  </si>
  <si>
    <t>0520</t>
  </si>
  <si>
    <t>0521</t>
  </si>
  <si>
    <t>0523</t>
  </si>
  <si>
    <t>0524</t>
  </si>
  <si>
    <t>0525</t>
  </si>
  <si>
    <t>0526</t>
  </si>
  <si>
    <t>0527</t>
  </si>
  <si>
    <t>0528</t>
  </si>
  <si>
    <t>0529</t>
  </si>
  <si>
    <t>0530</t>
  </si>
  <si>
    <t>0531</t>
  </si>
  <si>
    <t>0532</t>
  </si>
  <si>
    <t>0533</t>
  </si>
  <si>
    <t>0535</t>
  </si>
  <si>
    <t>0536</t>
  </si>
  <si>
    <t>0537</t>
  </si>
  <si>
    <t>0538</t>
  </si>
  <si>
    <t>0539</t>
  </si>
  <si>
    <t>0540</t>
  </si>
  <si>
    <t>0541</t>
  </si>
  <si>
    <t>0542</t>
  </si>
  <si>
    <t>0545</t>
  </si>
  <si>
    <t>0547</t>
  </si>
  <si>
    <t>0548</t>
  </si>
  <si>
    <t>0549</t>
  </si>
  <si>
    <t>0550</t>
  </si>
  <si>
    <t>0551</t>
  </si>
  <si>
    <t>0552</t>
  </si>
  <si>
    <t>0553</t>
  </si>
  <si>
    <t>0554</t>
  </si>
  <si>
    <t>0555</t>
  </si>
  <si>
    <t>0556</t>
  </si>
  <si>
    <t>0558</t>
  </si>
  <si>
    <t>0559</t>
  </si>
  <si>
    <t>0557</t>
  </si>
  <si>
    <t>0560</t>
  </si>
  <si>
    <t>0561</t>
  </si>
  <si>
    <t>0562</t>
  </si>
  <si>
    <t>0701</t>
  </si>
  <si>
    <t>0703</t>
  </si>
  <si>
    <t>0705</t>
  </si>
  <si>
    <t>0706</t>
  </si>
  <si>
    <t>0708</t>
  </si>
  <si>
    <t>0709</t>
  </si>
  <si>
    <t>0710</t>
  </si>
  <si>
    <t>0713</t>
  </si>
  <si>
    <t>0716</t>
  </si>
  <si>
    <t>0717</t>
  </si>
  <si>
    <t>0718</t>
  </si>
  <si>
    <t>0720</t>
  </si>
  <si>
    <t>0729</t>
  </si>
  <si>
    <t>0730</t>
  </si>
  <si>
    <t>0731</t>
  </si>
  <si>
    <t>0732</t>
  </si>
  <si>
    <t>0733</t>
  </si>
  <si>
    <t>0735</t>
  </si>
  <si>
    <t>0736</t>
  </si>
  <si>
    <t>0737</t>
  </si>
  <si>
    <t>0738</t>
  </si>
  <si>
    <t>0740</t>
  </si>
  <si>
    <t>0741</t>
  </si>
  <si>
    <t>0742</t>
  </si>
  <si>
    <t>0743</t>
  </si>
  <si>
    <t>0744</t>
  </si>
  <si>
    <t>0745</t>
  </si>
  <si>
    <t>0746</t>
  </si>
  <si>
    <t>0747</t>
  </si>
  <si>
    <t>0748</t>
  </si>
  <si>
    <t>0749</t>
  </si>
  <si>
    <t>0757</t>
  </si>
  <si>
    <t>0761</t>
  </si>
  <si>
    <t>0762</t>
  </si>
  <si>
    <t>0763</t>
  </si>
  <si>
    <t>0764</t>
  </si>
  <si>
    <t>0765</t>
  </si>
  <si>
    <t>0766</t>
  </si>
  <si>
    <t>0767</t>
  </si>
  <si>
    <t>0769</t>
  </si>
  <si>
    <t>0771</t>
  </si>
  <si>
    <t>0781</t>
  </si>
  <si>
    <t>0782</t>
  </si>
  <si>
    <t>0783</t>
  </si>
  <si>
    <t>0786</t>
  </si>
  <si>
    <t>0789</t>
  </si>
  <si>
    <t>0704</t>
  </si>
  <si>
    <t>0702</t>
  </si>
  <si>
    <t>0791</t>
  </si>
  <si>
    <t>0792</t>
  </si>
  <si>
    <t>0793</t>
  </si>
  <si>
    <t>0801</t>
  </si>
  <si>
    <t>0160</t>
  </si>
  <si>
    <t>0161</t>
  </si>
  <si>
    <t>0162</t>
  </si>
  <si>
    <t>0163</t>
  </si>
  <si>
    <t>0164</t>
  </si>
  <si>
    <t>0169</t>
  </si>
  <si>
    <t>0168</t>
  </si>
  <si>
    <t>0430</t>
  </si>
  <si>
    <t>0432</t>
  </si>
  <si>
    <t>0433</t>
  </si>
  <si>
    <t>0435</t>
  </si>
  <si>
    <t>0436</t>
  </si>
  <si>
    <t>0461</t>
  </si>
  <si>
    <t>0166</t>
  </si>
  <si>
    <t>0167</t>
  </si>
  <si>
    <t>0497</t>
  </si>
  <si>
    <t>0365</t>
  </si>
  <si>
    <t>0652</t>
  </si>
  <si>
    <t>0076</t>
  </si>
  <si>
    <t>0423</t>
  </si>
  <si>
    <t>0079</t>
  </si>
  <si>
    <t>0074</t>
  </si>
  <si>
    <t>0659</t>
  </si>
  <si>
    <t>0649</t>
  </si>
  <si>
    <t>0056</t>
  </si>
  <si>
    <t>0064</t>
  </si>
  <si>
    <t>0332</t>
  </si>
  <si>
    <t>0655</t>
  </si>
  <si>
    <t>0380</t>
  </si>
  <si>
    <t>0384</t>
  </si>
  <si>
    <t>0653</t>
  </si>
  <si>
    <t>0099</t>
  </si>
  <si>
    <t>0334</t>
  </si>
  <si>
    <t>0632</t>
  </si>
  <si>
    <t>0009</t>
  </si>
  <si>
    <t>0014</t>
  </si>
  <si>
    <t>0019</t>
  </si>
  <si>
    <t>0031</t>
  </si>
  <si>
    <t>0121</t>
  </si>
  <si>
    <t>0165</t>
  </si>
  <si>
    <t>0117</t>
  </si>
  <si>
    <t>0118</t>
  </si>
  <si>
    <t>0313</t>
  </si>
  <si>
    <t>0108</t>
  </si>
  <si>
    <t>0122</t>
  </si>
  <si>
    <t>0124</t>
  </si>
  <si>
    <t>0146</t>
  </si>
  <si>
    <t>0142</t>
  </si>
  <si>
    <t>0002</t>
  </si>
  <si>
    <t>0004</t>
  </si>
  <si>
    <t>0005</t>
  </si>
  <si>
    <t>0007</t>
  </si>
  <si>
    <t>0008</t>
  </si>
  <si>
    <t>0010</t>
  </si>
  <si>
    <t>0011</t>
  </si>
  <si>
    <t>0012</t>
  </si>
  <si>
    <t>0013</t>
  </si>
  <si>
    <t>0016</t>
  </si>
  <si>
    <t>0017</t>
  </si>
  <si>
    <t>0018</t>
  </si>
  <si>
    <t>0020</t>
  </si>
  <si>
    <t>0021</t>
  </si>
  <si>
    <t>0022</t>
  </si>
  <si>
    <t>0023</t>
  </si>
  <si>
    <t>0024</t>
  </si>
  <si>
    <t>0025</t>
  </si>
  <si>
    <t>0027</t>
  </si>
  <si>
    <t>0028</t>
  </si>
  <si>
    <t>0029</t>
  </si>
  <si>
    <t>0030</t>
  </si>
  <si>
    <t>0035</t>
  </si>
  <si>
    <t>0038</t>
  </si>
  <si>
    <t>0041</t>
  </si>
  <si>
    <t>0042</t>
  </si>
  <si>
    <t>0043</t>
  </si>
  <si>
    <t>0045</t>
  </si>
  <si>
    <t>0046</t>
  </si>
  <si>
    <t>0053</t>
  </si>
  <si>
    <t>0071</t>
  </si>
  <si>
    <t>0073</t>
  </si>
  <si>
    <t>0081</t>
  </si>
  <si>
    <t>0082</t>
  </si>
  <si>
    <t>0083</t>
  </si>
  <si>
    <t>0086</t>
  </si>
  <si>
    <t>0087</t>
  </si>
  <si>
    <t>0088</t>
  </si>
  <si>
    <t>0091</t>
  </si>
  <si>
    <t>0092</t>
  </si>
  <si>
    <t>0093</t>
  </si>
  <si>
    <t>0094</t>
  </si>
  <si>
    <t>0097</t>
  </si>
  <si>
    <t>0101</t>
  </si>
  <si>
    <t>0104</t>
  </si>
  <si>
    <t>0105</t>
  </si>
  <si>
    <t>0106</t>
  </si>
  <si>
    <t>0107</t>
  </si>
  <si>
    <t>0110</t>
  </si>
  <si>
    <t>0112</t>
  </si>
  <si>
    <t>0113</t>
  </si>
  <si>
    <t>0114</t>
  </si>
  <si>
    <t>0115</t>
  </si>
  <si>
    <t>0116</t>
  </si>
  <si>
    <t>0119</t>
  </si>
  <si>
    <t>0123</t>
  </si>
  <si>
    <t>0127</t>
  </si>
  <si>
    <t>0128</t>
  </si>
  <si>
    <t>0132</t>
  </si>
  <si>
    <t>0133</t>
  </si>
  <si>
    <t>0134</t>
  </si>
  <si>
    <t>0138</t>
  </si>
  <si>
    <t>0140</t>
  </si>
  <si>
    <t>0141</t>
  </si>
  <si>
    <t>0145</t>
  </si>
  <si>
    <t>0151</t>
  </si>
  <si>
    <t>0152</t>
  </si>
  <si>
    <t>0157</t>
  </si>
  <si>
    <t>0220</t>
  </si>
  <si>
    <t>0226</t>
  </si>
  <si>
    <t>0229</t>
  </si>
  <si>
    <t>0251</t>
  </si>
  <si>
    <t>0253</t>
  </si>
  <si>
    <t>0287</t>
  </si>
  <si>
    <t>0300</t>
  </si>
  <si>
    <t>0302</t>
  </si>
  <si>
    <t>0303</t>
  </si>
  <si>
    <t>0305</t>
  </si>
  <si>
    <t>0308</t>
  </si>
  <si>
    <t>0309</t>
  </si>
  <si>
    <t>0310</t>
  </si>
  <si>
    <t>0311</t>
  </si>
  <si>
    <t>0316</t>
  </si>
  <si>
    <t>0317</t>
  </si>
  <si>
    <t>0318</t>
  </si>
  <si>
    <t>0319</t>
  </si>
  <si>
    <t>0321</t>
  </si>
  <si>
    <t>0322</t>
  </si>
  <si>
    <t>0323</t>
  </si>
  <si>
    <t>0327</t>
  </si>
  <si>
    <t>0333</t>
  </si>
  <si>
    <t>0342</t>
  </si>
  <si>
    <t>0371</t>
  </si>
  <si>
    <t>0376</t>
  </si>
  <si>
    <t>0378</t>
  </si>
  <si>
    <t>0385</t>
  </si>
  <si>
    <t>0386</t>
  </si>
  <si>
    <t>0581</t>
  </si>
  <si>
    <t>0582</t>
  </si>
  <si>
    <t>0591</t>
  </si>
  <si>
    <t>0661</t>
  </si>
  <si>
    <t>0149</t>
  </si>
  <si>
    <t>0248</t>
  </si>
  <si>
    <t>0301</t>
  </si>
  <si>
    <t>0170</t>
  </si>
  <si>
    <t>0514</t>
  </si>
  <si>
    <t>0464</t>
  </si>
  <si>
    <t>0462</t>
  </si>
  <si>
    <t>0148</t>
  </si>
  <si>
    <t>0126</t>
  </si>
  <si>
    <t>0125</t>
  </si>
  <si>
    <t>0143</t>
  </si>
  <si>
    <t>0153</t>
  </si>
  <si>
    <t>0154</t>
  </si>
  <si>
    <t>0155</t>
  </si>
  <si>
    <t>0147</t>
  </si>
  <si>
    <t>0130</t>
  </si>
  <si>
    <t>0072</t>
  </si>
  <si>
    <t>0223</t>
  </si>
  <si>
    <t>0033</t>
  </si>
  <si>
    <t>0054</t>
  </si>
  <si>
    <t>0174</t>
  </si>
  <si>
    <t>0440</t>
  </si>
  <si>
    <t>0441</t>
  </si>
  <si>
    <t>0463</t>
  </si>
  <si>
    <t>0468</t>
  </si>
  <si>
    <t>0473</t>
  </si>
  <si>
    <t>0032</t>
  </si>
  <si>
    <t>0367</t>
  </si>
  <si>
    <t>0472</t>
  </si>
  <si>
    <t>0331</t>
  </si>
  <si>
    <t>0369</t>
  </si>
  <si>
    <t>0489</t>
  </si>
  <si>
    <t>0572</t>
  </si>
  <si>
    <t>0573</t>
  </si>
  <si>
    <t>0583</t>
  </si>
  <si>
    <t>0805</t>
  </si>
  <si>
    <t>0667</t>
  </si>
  <si>
    <t>0668</t>
  </si>
  <si>
    <t>0669</t>
  </si>
  <si>
    <t>0670</t>
  </si>
  <si>
    <t>0676</t>
  </si>
  <si>
    <t>0677</t>
  </si>
  <si>
    <t>0678</t>
  </si>
  <si>
    <t>0679</t>
  </si>
  <si>
    <t>0680</t>
  </si>
  <si>
    <t>0682</t>
  </si>
  <si>
    <t>0683</t>
  </si>
  <si>
    <t>0684</t>
  </si>
  <si>
    <t>0685</t>
  </si>
  <si>
    <t>0686</t>
  </si>
  <si>
    <t>0687</t>
  </si>
  <si>
    <t>0688</t>
  </si>
  <si>
    <t>0689</t>
  </si>
  <si>
    <t>0690</t>
  </si>
  <si>
    <t>0691</t>
  </si>
  <si>
    <t>0693</t>
  </si>
  <si>
    <t>0592</t>
  </si>
  <si>
    <t>0647</t>
  </si>
  <si>
    <t>0806</t>
  </si>
  <si>
    <t>0643</t>
  </si>
  <si>
    <t>0807</t>
  </si>
  <si>
    <t>0490</t>
  </si>
  <si>
    <t>0491</t>
  </si>
  <si>
    <t>0492</t>
  </si>
  <si>
    <t>0494</t>
  </si>
  <si>
    <t>0493</t>
  </si>
  <si>
    <t>NH CANCILLER AYALA VITORIA</t>
  </si>
  <si>
    <t xml:space="preserve"> NH RAMBLA DE ALICANTE</t>
  </si>
  <si>
    <t>NH ABASHIRI</t>
  </si>
  <si>
    <t>NH INGLATERRA</t>
  </si>
  <si>
    <t>NH ALONSO MARTINEZ</t>
  </si>
  <si>
    <t>NH VENTAS</t>
  </si>
  <si>
    <t>NH ARGUELLES</t>
  </si>
  <si>
    <t>NH PLAZA DE ARMAS</t>
  </si>
  <si>
    <t>NH PRACTICO</t>
  </si>
  <si>
    <t xml:space="preserve"> NH COLLECTION ABASCAL</t>
  </si>
  <si>
    <t>NH ATLANTICO</t>
  </si>
  <si>
    <t>NH ALBERTO AGUILERA</t>
  </si>
  <si>
    <t>NH VIAPOL</t>
  </si>
  <si>
    <t>NH VILLA DE COSLADA</t>
  </si>
  <si>
    <t>NH LAS ARTES</t>
  </si>
  <si>
    <t>NH LAS CIENCIAS</t>
  </si>
  <si>
    <t>NH SANTANDER PARAYAS</t>
  </si>
  <si>
    <t>NH CORNELLA</t>
  </si>
  <si>
    <t>NH CIUDAD DE ALMERIA</t>
  </si>
  <si>
    <t>NH CALIFA</t>
  </si>
  <si>
    <t>NH PALACIO DE SANTA MARTA</t>
  </si>
  <si>
    <t>NH COLLECTION SEVILLA</t>
  </si>
  <si>
    <t>NH PLETTENBERG BAY</t>
  </si>
  <si>
    <t>MARKETING CENTRE SPAIN</t>
  </si>
  <si>
    <t>NH EIXAMPLE</t>
  </si>
  <si>
    <t>NH BALBOA</t>
  </si>
  <si>
    <t>NH PRINCIPE DE VERGARA</t>
  </si>
  <si>
    <t>NH MALAGA</t>
  </si>
  <si>
    <t>HOTEL ALMENARA (OLD)</t>
  </si>
  <si>
    <t>NH SPORT</t>
  </si>
  <si>
    <t>NH AGUSTINOS</t>
  </si>
  <si>
    <t xml:space="preserve"> H. HILTON GARDEN INN N.LA</t>
  </si>
  <si>
    <t>HILTON AEROPUERTO</t>
  </si>
  <si>
    <t>NH COLLECTION COLON MADRID</t>
  </si>
  <si>
    <t>NH BRETON</t>
  </si>
  <si>
    <t>NH MEXICO CITY</t>
  </si>
  <si>
    <t>NH COATZACOALCOS</t>
  </si>
  <si>
    <t>NH LAZARO CARDENAS</t>
  </si>
  <si>
    <t>NH GRAN HOTEL CALDERON</t>
  </si>
  <si>
    <t>NH PALACIO DE ORIOL</t>
  </si>
  <si>
    <t>NH FUENLABRADA</t>
  </si>
  <si>
    <t>NH ZURBANO</t>
  </si>
  <si>
    <t>NH LA PERDIZ</t>
  </si>
  <si>
    <t>NH COLLECTION EUROBUILDING</t>
  </si>
  <si>
    <t>NH MONTEROZAS</t>
  </si>
  <si>
    <t>NH LIBERDADE</t>
  </si>
  <si>
    <t>NH CONDOR</t>
  </si>
  <si>
    <t>NH LES CORTS</t>
  </si>
  <si>
    <t xml:space="preserve"> NH SANTS BARCELONA</t>
  </si>
  <si>
    <t>NH BARCELONA STADIUM 4</t>
  </si>
  <si>
    <t xml:space="preserve"> NH ENTENZA</t>
  </si>
  <si>
    <t>NH CIUTAT DE MATARO</t>
  </si>
  <si>
    <t xml:space="preserve"> NH COLLECTION NH ARANZAZU</t>
  </si>
  <si>
    <t xml:space="preserve"> NH ATOCHA</t>
  </si>
  <si>
    <t>NH IMPERIAL PLAYA</t>
  </si>
  <si>
    <t>NH PLAYA LAS CANTERAS</t>
  </si>
  <si>
    <t>NH CIUDAD DE VALLADOLID</t>
  </si>
  <si>
    <t>NH LAGASCA</t>
  </si>
  <si>
    <t>NH PRINCIPADO</t>
  </si>
  <si>
    <t>NH DEUSTO</t>
  </si>
  <si>
    <t>NH AMISTAD MURCIA</t>
  </si>
  <si>
    <t>NH MARBELLA</t>
  </si>
  <si>
    <t>NH COLLECTION VILLA BILBAO</t>
  </si>
  <si>
    <t>NH PUERTA DE ALCALA</t>
  </si>
  <si>
    <t>NH CIUTAT DE REUS</t>
  </si>
  <si>
    <t>NH PALACIO DE VIGO</t>
  </si>
  <si>
    <t>NH LOGROÑO</t>
  </si>
  <si>
    <t>NH SAN PEDRO DE ALCANTARA</t>
  </si>
  <si>
    <t>NH PALACIO DEL DUERO</t>
  </si>
  <si>
    <t>NH COLLECT. PALACIO BURGOS</t>
  </si>
  <si>
    <t>NH BARAJAS</t>
  </si>
  <si>
    <t>NH LAS ROZAS APARTHOTEL</t>
  </si>
  <si>
    <t>NH LA FLORIDA APARTHOTEL</t>
  </si>
  <si>
    <t>NH ARAVACA APARTHOTEL</t>
  </si>
  <si>
    <t>NH FLORIDA</t>
  </si>
  <si>
    <t>NH JOUSTEN</t>
  </si>
  <si>
    <t>NH LATINO</t>
  </si>
  <si>
    <t>NH CIUDAD DE SANTIAGO</t>
  </si>
  <si>
    <t>NH COLUMBIA</t>
  </si>
  <si>
    <t xml:space="preserve">NH CITY </t>
  </si>
  <si>
    <t>NH CORDILLERA</t>
  </si>
  <si>
    <t>NH TENERIFE</t>
  </si>
  <si>
    <t>NH ALANDA</t>
  </si>
  <si>
    <t>NH FRIBOURG</t>
  </si>
  <si>
    <t>NH GENEVA AIRPORT</t>
  </si>
  <si>
    <t>NH DUSSELDORF CITY</t>
  </si>
  <si>
    <t>NH DORTMUND</t>
  </si>
  <si>
    <t>NH MUENCHEN OST CONFERENCE CENTER</t>
  </si>
  <si>
    <t>NH OBERHAUSEN</t>
  </si>
  <si>
    <t>NH KOLN CITY</t>
  </si>
  <si>
    <t>NH FRANKFURT VILLA</t>
  </si>
  <si>
    <t>NH FRANKFURT AIRPORT</t>
  </si>
  <si>
    <t>NH FRANKFURT AIRPORT WEST</t>
  </si>
  <si>
    <t>NH BERLIN ALEXANDERPLATZ</t>
  </si>
  <si>
    <t>NH BERLIN MITTE</t>
  </si>
  <si>
    <t>NH BERLIN POTSDAM CC</t>
  </si>
  <si>
    <t>NH BERLIN TREPTOW</t>
  </si>
  <si>
    <t>NH BERLIN HEINRICH HEINE</t>
  </si>
  <si>
    <t>NH BINGEN</t>
  </si>
  <si>
    <t>NH DEGGENDORF</t>
  </si>
  <si>
    <t>NH DESSAU</t>
  </si>
  <si>
    <t>NH BERLIN KURFURSTENDAMM</t>
  </si>
  <si>
    <t>NH GRONINGEN</t>
  </si>
  <si>
    <t>NH BRUSSELS STEPHANIE</t>
  </si>
  <si>
    <t>NH BRUSSELS CITY CENTRE</t>
  </si>
  <si>
    <t>NH BRUSSELS AIRPORT</t>
  </si>
  <si>
    <t>NH GRAND PLACE ARENBERG</t>
  </si>
  <si>
    <t>NH BUSSUM JAN TABAK</t>
  </si>
  <si>
    <t>NH GALAXY</t>
  </si>
  <si>
    <t>NH AMSTERDAM CARANSA</t>
  </si>
  <si>
    <t>NH AMSTERDAM SCHILLER</t>
  </si>
  <si>
    <t>NH AMSTERDAM DOELEN</t>
  </si>
  <si>
    <t>NH AMSTERDAM TROPEN</t>
  </si>
  <si>
    <t>NH AMSTERDAM MUSEUM QUARTER</t>
  </si>
  <si>
    <t>NH CITY CENTRE</t>
  </si>
  <si>
    <t>NH AMSTERDAM CENTRE</t>
  </si>
  <si>
    <t>NH AMSTERDAM BARBIZON PALACE</t>
  </si>
  <si>
    <t>NH AMSTERDAM SCHIPHOL AIRPORT</t>
  </si>
  <si>
    <t>NH AMSTERDAM GRAND HOTEL KRASNAPOLSKY</t>
  </si>
  <si>
    <t>NH NAARDEN</t>
  </si>
  <si>
    <t>NH UTRECHT</t>
  </si>
  <si>
    <t>NH ZANDVOORT</t>
  </si>
  <si>
    <t>NH DELTA</t>
  </si>
  <si>
    <t>NH COLLECT AMISTAD CORDOBA</t>
  </si>
  <si>
    <t>NH ZOETERMEER</t>
  </si>
  <si>
    <t>NH CENTRE UTRECHT</t>
  </si>
  <si>
    <t>NH ATLANTA ROTTERDAM</t>
  </si>
  <si>
    <t>NH DRESDEN NEUSTADT</t>
  </si>
  <si>
    <t>NH DUSSELDORF CITY NORD</t>
  </si>
  <si>
    <t>NH HEEMSKERK MARQUETTE</t>
  </si>
  <si>
    <t>NH COLLECTION BRUSSELS CENTRE</t>
  </si>
  <si>
    <t>NH MAASTRICHT</t>
  </si>
  <si>
    <t>NH CAPELLE</t>
  </si>
  <si>
    <t>NH GELDROPO</t>
  </si>
  <si>
    <t>NH BEST</t>
  </si>
  <si>
    <t>NH ARNHEM RIJNHOTEL</t>
  </si>
  <si>
    <t>CASINO DE MADRID</t>
  </si>
  <si>
    <t>NH GRONINGEN HOTEL DE VILLE</t>
  </si>
  <si>
    <t>NH BELAGUA</t>
  </si>
  <si>
    <t>NH ERLANGEN</t>
  </si>
  <si>
    <t>NH ORUS</t>
  </si>
  <si>
    <t>NH REX</t>
  </si>
  <si>
    <t>NH HAMBURG MITTE</t>
  </si>
  <si>
    <t>NH BERLIN CITY OST</t>
  </si>
  <si>
    <t>NH FRANKFURT MOERFELDEN CC</t>
  </si>
  <si>
    <t>NH COLLECTION  HAMBURG CITY</t>
  </si>
  <si>
    <t>NH HAMBURG HORNER RENNBAHN</t>
  </si>
  <si>
    <t>NH HAMBURG ALTONA</t>
  </si>
  <si>
    <t>NH HEIDELBERG</t>
  </si>
  <si>
    <t>NH HEIDENHEIM</t>
  </si>
  <si>
    <t>NH HIRSCHBERG HEIDELBERG</t>
  </si>
  <si>
    <t>NH INGOLSTADT</t>
  </si>
  <si>
    <t>NH LEIPZIG MESSE</t>
  </si>
  <si>
    <t>NH MAGDEBURG</t>
  </si>
  <si>
    <t>NH MUNCHEN AIRPORT</t>
  </si>
  <si>
    <t>NH MÜNCHEN DEUTSCHER KAISER</t>
  </si>
  <si>
    <t>NH MÜNCHEN NEUE MESSE</t>
  </si>
  <si>
    <t>NH MUNCHEN UNTERHACHING</t>
  </si>
  <si>
    <t>NH MÜNCHEN AM RING</t>
  </si>
  <si>
    <t>NH  KLÖSTERLE NÖRDLINGEN</t>
  </si>
  <si>
    <t>NH FÜRTH NÜRNBERG</t>
  </si>
  <si>
    <t>NH FORTSHAUS NÜRNBERG FÜRTH</t>
  </si>
  <si>
    <t xml:space="preserve">NH POTSDAM </t>
  </si>
  <si>
    <t>NH SCHWERIN</t>
  </si>
  <si>
    <t>NH STUTTGART SINDELFINGEN</t>
  </si>
  <si>
    <t>NH STUTTGART AIRPORT</t>
  </si>
  <si>
    <t>NH MANNHEIM VIERNHEIM</t>
  </si>
  <si>
    <t>NH WEINHEIM</t>
  </si>
  <si>
    <t>NH WIESBADEN</t>
  </si>
  <si>
    <t>NH COLLECTION FRANKFURT CITY CENTER</t>
  </si>
  <si>
    <t>NH BUDAPEST</t>
  </si>
  <si>
    <t>NH CAMPO DE GIBRALTAR</t>
  </si>
  <si>
    <t>NH COLLEC PALACIO ARANJUEZ</t>
  </si>
  <si>
    <t>NH COLLECT PALACIO AVILES</t>
  </si>
  <si>
    <t>NH CARTAGENA</t>
  </si>
  <si>
    <t>NH SOTOGRANDE (OLD)</t>
  </si>
  <si>
    <t>NH CAMPUS</t>
  </si>
  <si>
    <t>NH MADRID SUR</t>
  </si>
  <si>
    <t>NH S.SEBASTIAN D.L REYES</t>
  </si>
  <si>
    <t>NH ALCORCON</t>
  </si>
  <si>
    <t>SPA EUROBUILDING</t>
  </si>
  <si>
    <t>NH DEN HAAG</t>
  </si>
  <si>
    <t xml:space="preserve"> NH COLLECTION VICTORIA</t>
  </si>
  <si>
    <t>NH SANT BOI</t>
  </si>
  <si>
    <t>NH MERCADER</t>
  </si>
  <si>
    <t>NH COLLECTION SANTIAGO</t>
  </si>
  <si>
    <t xml:space="preserve"> NH COLLECTION PLAZA MAYOR</t>
  </si>
  <si>
    <t>NH ALICANTE</t>
  </si>
  <si>
    <t>NH NÜRNBERG CITY CENTER</t>
  </si>
  <si>
    <t>NH COLLECTION CONSTANZA</t>
  </si>
  <si>
    <t>NH BUCHAREST</t>
  </si>
  <si>
    <t>NH TIMISOARA</t>
  </si>
  <si>
    <t xml:space="preserve"> NH GRAN CASINO EXTREMADURA</t>
  </si>
  <si>
    <t xml:space="preserve">NH SANTA FE MEXICO CITY </t>
  </si>
  <si>
    <t>NH BALAGO</t>
  </si>
  <si>
    <t>NH CAMPO GRANDE</t>
  </si>
  <si>
    <t>NH BERLIN CITY WEST</t>
  </si>
  <si>
    <t>NH LUXEMBOURG</t>
  </si>
  <si>
    <t>NH WAALWIJK</t>
  </si>
  <si>
    <t>NH PUERTO DE SAGUNTO</t>
  </si>
  <si>
    <t>NH GENT BELFORT</t>
  </si>
  <si>
    <t>NH BRUGGE</t>
  </si>
  <si>
    <t>NH POZNAN</t>
  </si>
  <si>
    <t>NH BRATISLAVA GATE ONE</t>
  </si>
  <si>
    <t>NH HAITI EL RANCHO</t>
  </si>
  <si>
    <t xml:space="preserve"> NH PUERTO SAGUNTO</t>
  </si>
  <si>
    <t xml:space="preserve"> NH VILLA DE COSLADA</t>
  </si>
  <si>
    <t>NH RIBERA DEL MANZANARES</t>
  </si>
  <si>
    <t>NH AMSTERDAM ZUID</t>
  </si>
  <si>
    <t>NH ATLANTIC DEN HAAG</t>
  </si>
  <si>
    <t>NH COLLECTION P.DE OQUENDO</t>
  </si>
  <si>
    <t>NH LAS TABLAS</t>
  </si>
  <si>
    <t xml:space="preserve">NH AIRPORT T2 MEXICO CITY </t>
  </si>
  <si>
    <t>NH GUADALAJARA</t>
  </si>
  <si>
    <t xml:space="preserve"> NH VILLA MADRID(MLEQU)</t>
  </si>
  <si>
    <t>NH COLLECTION PALACIO TEPA</t>
  </si>
  <si>
    <t>NH GENT SINT PIETERS</t>
  </si>
  <si>
    <t>NH MECHELEN</t>
  </si>
  <si>
    <t>NH WIEN ZENTRUM</t>
  </si>
  <si>
    <t>NH WIEN BELVEDERE</t>
  </si>
  <si>
    <t xml:space="preserve"> NH SALZBURG CITY</t>
  </si>
  <si>
    <t>NH WIEN AIRPORT</t>
  </si>
  <si>
    <t xml:space="preserve">NH WIEN CITY </t>
  </si>
  <si>
    <t>NH DUSSELDORF KONIGSALLEE</t>
  </si>
  <si>
    <t xml:space="preserve"> NH  VERACRUZ (ANTIGUO)</t>
  </si>
  <si>
    <t>NH CAPETOWN THE LORD CHARLES</t>
  </si>
  <si>
    <t>NH CRILLON</t>
  </si>
  <si>
    <t>NH LANCASTER</t>
  </si>
  <si>
    <t>NH TANGO</t>
  </si>
  <si>
    <t>NH 9 DE JULIO</t>
  </si>
  <si>
    <t>NH GRAN HOTEL PROVINCIAL</t>
  </si>
  <si>
    <t>NH GIJON (OLD)</t>
  </si>
  <si>
    <t>NH LA AVANZADA</t>
  </si>
  <si>
    <t>NH BERLIN POTZDAMER PLATZ</t>
  </si>
  <si>
    <t>NH COLLECTION DRESDEN ALTMARKT</t>
  </si>
  <si>
    <t xml:space="preserve"> NH COL  OLOMOUC CONGRESS</t>
  </si>
  <si>
    <t>NH LUDWIGSBURG</t>
  </si>
  <si>
    <t>NHOW BERLIN</t>
  </si>
  <si>
    <t>NH FRANKFURT MESSE</t>
  </si>
  <si>
    <t>NH HOTEL CASINO</t>
  </si>
  <si>
    <t>NH ALGECIRAS SUITES</t>
  </si>
  <si>
    <t>NH CASTELLAR</t>
  </si>
  <si>
    <t>CS FASHION TAPAS</t>
  </si>
  <si>
    <t>NH OURENSE</t>
  </si>
  <si>
    <t>NH PRAGUE CITY</t>
  </si>
  <si>
    <t>NHOW ROTTERDAM</t>
  </si>
  <si>
    <t xml:space="preserve"> NH CAMPO CARTAGENA</t>
  </si>
  <si>
    <t>NH SEGOVIA</t>
  </si>
  <si>
    <t>NH CAMPUS LA MORALEJA</t>
  </si>
  <si>
    <t xml:space="preserve"> NH COLLECTION SUECIA</t>
  </si>
  <si>
    <t xml:space="preserve"> NHOW AMSTERDAM B.V</t>
  </si>
  <si>
    <t>NH TOWER COLLECTION</t>
  </si>
  <si>
    <t>OTOGRANDE</t>
  </si>
  <si>
    <t>LMENARA</t>
  </si>
  <si>
    <t>NH PUNTA CANA</t>
  </si>
  <si>
    <t>CLUB DEPORTIVO SOTOGRANDE</t>
  </si>
  <si>
    <t>HESPERIA LANZAROTE</t>
  </si>
  <si>
    <t>HESPERIA CIUTAT MALLORCA</t>
  </si>
  <si>
    <t>HESPERIA BRISTOL PLAYA</t>
  </si>
  <si>
    <t>HESPERIA CORDOBA</t>
  </si>
  <si>
    <t>HESPERIA DONOSTI</t>
  </si>
  <si>
    <t>HESPERIA GETAFE</t>
  </si>
  <si>
    <t>HESPERIA GRANADA</t>
  </si>
  <si>
    <t>HESPERIA HERMOSILLA</t>
  </si>
  <si>
    <t>HESPERIA PRESIDENTE</t>
  </si>
  <si>
    <t>HESPERIA SANT JOAN</t>
  </si>
  <si>
    <t>HESPERIA TOWER</t>
  </si>
  <si>
    <t>HESPERIA FIRA SUITES</t>
  </si>
  <si>
    <t>HESPERIA SPORT BARCELONA</t>
  </si>
  <si>
    <t>HESPERIA SEVILLA</t>
  </si>
  <si>
    <t>HESPERIA CARLIT</t>
  </si>
  <si>
    <t>HESPERIA CHALET DEL GOLF</t>
  </si>
  <si>
    <t>HESPERIA DEL MAR</t>
  </si>
  <si>
    <t>HESPERIA DEL PORT</t>
  </si>
  <si>
    <t>HESPERIA ZARAGOZA</t>
  </si>
  <si>
    <t>HESPERIA MURCIA</t>
  </si>
  <si>
    <t>HESPERIA EMPERATRIZ</t>
  </si>
  <si>
    <t>HESPERIA MADRID</t>
  </si>
  <si>
    <t>HESPERIA RAMBLAS</t>
  </si>
  <si>
    <t>HESPERIA VILLAMIL</t>
  </si>
  <si>
    <t>HESPERIA BARRI GOTIC</t>
  </si>
  <si>
    <t>HESPERIA A CORUÑA</t>
  </si>
  <si>
    <t xml:space="preserve"> HESP. BALNE. DE GUITIRIZ</t>
  </si>
  <si>
    <t>HESPERIA FERROL</t>
  </si>
  <si>
    <t>HESPERIA FINISTERRE</t>
  </si>
  <si>
    <t>HESPERIA GELMIREZ</t>
  </si>
  <si>
    <t>HESPERIA ISLA LA TOJA</t>
  </si>
  <si>
    <t>HESPERIA PEREGRINO</t>
  </si>
  <si>
    <t>HESPERIA VIGO</t>
  </si>
  <si>
    <t>HESPERIA BILBAO</t>
  </si>
  <si>
    <t>HESPERIA TOLEDO</t>
  </si>
  <si>
    <t>HESPERIA ZUBIALDE</t>
  </si>
  <si>
    <t>HESPERIA SANT JUST</t>
  </si>
  <si>
    <t>HESPERIA SABINAL</t>
  </si>
  <si>
    <t>HESPERIA PLAYA DORADA</t>
  </si>
  <si>
    <t>PLAYA EL AGUA</t>
  </si>
  <si>
    <t>HH ISLA MARGARITA</t>
  </si>
  <si>
    <t>HESPERIA ANDORRA LA VELLA</t>
  </si>
  <si>
    <t>NH CAMPO CARTAGENA</t>
  </si>
  <si>
    <t>NH GIRONA</t>
  </si>
  <si>
    <t>WTC VALENCIA</t>
  </si>
  <si>
    <t>NH CLUB NAUTICO SALINAS</t>
  </si>
  <si>
    <t>EDEN CLUB</t>
  </si>
  <si>
    <t>DAM 9 B.V.</t>
  </si>
  <si>
    <t>NH CARREFOUR BRUSSELS DE L'EUROPE</t>
  </si>
  <si>
    <t>NH COLLECTION PORTO BATALHA</t>
  </si>
  <si>
    <t>NH GUADALAJARA CENTRO HISTÓRICO</t>
  </si>
  <si>
    <t xml:space="preserve"> NH  VERACRUZ </t>
  </si>
  <si>
    <t>NH VALLE DORADO</t>
  </si>
  <si>
    <t>NH CENTRO HISTORICO</t>
  </si>
  <si>
    <t>NH QUERETARO</t>
  </si>
  <si>
    <t>NH MONTERREY</t>
  </si>
  <si>
    <t>NH VELUWE CONFERENCE CENTRE SPARRENHORST</t>
  </si>
  <si>
    <t>NH COLLECTION PASEO PRADO</t>
  </si>
  <si>
    <t>NH AMERSFOORT</t>
  </si>
  <si>
    <t>NH COLLECTION PLAZA SANTIAGO</t>
  </si>
  <si>
    <t>NH COLLECTION CONCON</t>
  </si>
  <si>
    <t>NH IQUIUE</t>
  </si>
  <si>
    <t>NH ANTOFAGASTA</t>
  </si>
  <si>
    <t>NH ROYAL METROTEL</t>
  </si>
  <si>
    <t>NH ROYAL URBAN 26</t>
  </si>
  <si>
    <t>NH ROYAL URBAN 93</t>
  </si>
  <si>
    <t>NH ROYAL PAVILLON</t>
  </si>
  <si>
    <t>NH COLLECTION ROYAL WTC BOGOTA</t>
  </si>
  <si>
    <t>NH COLLECTION ROYAL TERRA 100</t>
  </si>
  <si>
    <t xml:space="preserve">NH COLLECTION ROYAL BOGOTA </t>
  </si>
  <si>
    <t>NH COLLECTION ROYAL HACIENDA</t>
  </si>
  <si>
    <t>NH COLLECTION ROYAL ANDINO</t>
  </si>
  <si>
    <t>NH ROYAL LA BOHEME</t>
  </si>
  <si>
    <t xml:space="preserve">NH COLLECTION ROYAL MEDELLIN </t>
  </si>
  <si>
    <t>NH COLLECTION ROYAL SMARTSUITES</t>
  </si>
  <si>
    <t>NH ROYAL CALI</t>
  </si>
  <si>
    <t>NH ROYAL URBAN CARTAGENA</t>
  </si>
  <si>
    <t>NH COLLECTION ROYAL LA MERCED</t>
  </si>
  <si>
    <t>NH COLLECTION ROYAL QUITO</t>
  </si>
  <si>
    <t xml:space="preserve"> NH LAGUNA PALACE</t>
  </si>
  <si>
    <t>NH SANTO STEFANO</t>
  </si>
  <si>
    <t>NHOW MILANO</t>
  </si>
  <si>
    <t xml:space="preserve"> DONNAFUGATA GOLF RESORT S</t>
  </si>
  <si>
    <t>NH CONCORDIA</t>
  </si>
  <si>
    <t xml:space="preserve"> NH ORIO AL SERIO</t>
  </si>
  <si>
    <t>NH GRAND HOTEL VERDI</t>
  </si>
  <si>
    <t>NH PALAZZO BAROCCI</t>
  </si>
  <si>
    <t>NH ANGLO AMERICAN</t>
  </si>
  <si>
    <t>NH VILLA SAN MAURO</t>
  </si>
  <si>
    <t xml:space="preserve"> NH GIUSTINIANO</t>
  </si>
  <si>
    <t xml:space="preserve"> NH MANTEGNA</t>
  </si>
  <si>
    <t xml:space="preserve"> GRAN HOTEL CONVENTO DI AM</t>
  </si>
  <si>
    <t>NH ANCONA</t>
  </si>
  <si>
    <t>NH BERGAMO</t>
  </si>
  <si>
    <t>NH BOLOGNA DE LA GARE</t>
  </si>
  <si>
    <t xml:space="preserve"> NH BOLOGNA VILLANOVA</t>
  </si>
  <si>
    <t>NH BRESCIA</t>
  </si>
  <si>
    <t xml:space="preserve"> NH BELLINI</t>
  </si>
  <si>
    <t>NH FIRENZE</t>
  </si>
  <si>
    <t xml:space="preserve"> NH MARINA</t>
  </si>
  <si>
    <t>NH GENOVA CENTRO</t>
  </si>
  <si>
    <t>NH LA SPEZIA</t>
  </si>
  <si>
    <t>NH PONTEVECCHIO</t>
  </si>
  <si>
    <t>NH MILANO 2</t>
  </si>
  <si>
    <t>NH MACHIAVELLI</t>
  </si>
  <si>
    <t xml:space="preserve"> NH PRESIDENT</t>
  </si>
  <si>
    <t>NH MILANO TOURING</t>
  </si>
  <si>
    <t>NH MILANOFIORI</t>
  </si>
  <si>
    <t>NH AMBASSADOR</t>
  </si>
  <si>
    <t>NH PALERMO</t>
  </si>
  <si>
    <t xml:space="preserve"> NH CAVALIERI</t>
  </si>
  <si>
    <t>NH HARRINGTON HALL</t>
  </si>
  <si>
    <t>NH LONDON KENSINGTON</t>
  </si>
  <si>
    <t>NH NICE</t>
  </si>
  <si>
    <t>NH FIERA</t>
  </si>
  <si>
    <t xml:space="preserve"> NH LYON AIRPORT</t>
  </si>
  <si>
    <t>NH CARLTON AMSTERDAM</t>
  </si>
  <si>
    <t>NH HOTEL DU GRAND SABLON</t>
  </si>
  <si>
    <t>NH RAVENNA</t>
  </si>
  <si>
    <t>NH LEONARDO DA VINCI</t>
  </si>
  <si>
    <t>NH MIDAS</t>
  </si>
  <si>
    <t xml:space="preserve"> NH VITTORIO VENETO</t>
  </si>
  <si>
    <t>NH VILLA CARPEGNA</t>
  </si>
  <si>
    <t>NH SIENA</t>
  </si>
  <si>
    <t>NH AMBASCIATORI</t>
  </si>
  <si>
    <t>NH TRIESTE</t>
  </si>
  <si>
    <t>NH MILANO 2 RESIDENCE</t>
  </si>
  <si>
    <t>NH COLLECTION  BERLIN FRIEDRICHSTRASSE</t>
  </si>
  <si>
    <t>NH KOLN MEDIAPARK</t>
  </si>
  <si>
    <t xml:space="preserve"> JOLLY HOTEL MADISON TOWER</t>
  </si>
  <si>
    <t xml:space="preserve"> NH LINATE</t>
  </si>
  <si>
    <t xml:space="preserve"> NH PORTA ROSSA</t>
  </si>
  <si>
    <t>NH GRAND HOTEL PALAZZO</t>
  </si>
  <si>
    <t>NH PARMA</t>
  </si>
  <si>
    <t>NH LINGOTTO TECH</t>
  </si>
  <si>
    <t>NH LINGOTTO CONGRESS</t>
  </si>
  <si>
    <t>NH CARLINA</t>
  </si>
  <si>
    <t>NH TRENTO</t>
  </si>
  <si>
    <t xml:space="preserve"> NH COLLECTION TAORMINA</t>
  </si>
  <si>
    <t xml:space="preserve"> NH PALAZZO MOSCOVA</t>
  </si>
  <si>
    <t xml:space="preserve"> NH COLLECTION PALAZZO CINQUECENTO</t>
  </si>
  <si>
    <t>ES10</t>
  </si>
  <si>
    <t>ES01</t>
  </si>
  <si>
    <t>ES55</t>
  </si>
  <si>
    <t>ES37</t>
  </si>
  <si>
    <t>ZA02</t>
  </si>
  <si>
    <t>ES42</t>
  </si>
  <si>
    <t>MX12</t>
  </si>
  <si>
    <t>ES33</t>
  </si>
  <si>
    <t>MX08</t>
  </si>
  <si>
    <t>MX05</t>
  </si>
  <si>
    <t>MX06</t>
  </si>
  <si>
    <t>PT01</t>
  </si>
  <si>
    <t>ES06</t>
  </si>
  <si>
    <t>ES04</t>
  </si>
  <si>
    <t>ES02</t>
  </si>
  <si>
    <t>ES07</t>
  </si>
  <si>
    <t>ES08</t>
  </si>
  <si>
    <t>ES27</t>
  </si>
  <si>
    <t>ES26</t>
  </si>
  <si>
    <t>ES32</t>
  </si>
  <si>
    <t>ES09</t>
  </si>
  <si>
    <t>ES28</t>
  </si>
  <si>
    <t>ES31</t>
  </si>
  <si>
    <t>ES24</t>
  </si>
  <si>
    <t>ES11</t>
  </si>
  <si>
    <t>ES29</t>
  </si>
  <si>
    <t>AR01</t>
  </si>
  <si>
    <t>CL02</t>
  </si>
  <si>
    <t>UY02</t>
  </si>
  <si>
    <t>AR02</t>
  </si>
  <si>
    <t>ES18</t>
  </si>
  <si>
    <t>ES47</t>
  </si>
  <si>
    <t>CH01</t>
  </si>
  <si>
    <t>DE01</t>
  </si>
  <si>
    <t>NL46</t>
  </si>
  <si>
    <t>BE02</t>
  </si>
  <si>
    <t>NL40</t>
  </si>
  <si>
    <t>NL36</t>
  </si>
  <si>
    <t>NL34</t>
  </si>
  <si>
    <t>NL33</t>
  </si>
  <si>
    <t>NL56</t>
  </si>
  <si>
    <t>NL26</t>
  </si>
  <si>
    <t>NL42</t>
  </si>
  <si>
    <t>NL22</t>
  </si>
  <si>
    <t>NL13</t>
  </si>
  <si>
    <t>NL24</t>
  </si>
  <si>
    <t>NL49</t>
  </si>
  <si>
    <t>NL45</t>
  </si>
  <si>
    <t>NL35</t>
  </si>
  <si>
    <t>NL27</t>
  </si>
  <si>
    <t>ES34</t>
  </si>
  <si>
    <t>NL28</t>
  </si>
  <si>
    <t>NL43</t>
  </si>
  <si>
    <t>NL29</t>
  </si>
  <si>
    <t>NL39</t>
  </si>
  <si>
    <t>NL23</t>
  </si>
  <si>
    <t>NL25</t>
  </si>
  <si>
    <t>NL15</t>
  </si>
  <si>
    <t>NL44</t>
  </si>
  <si>
    <t>NL14</t>
  </si>
  <si>
    <t>ES16</t>
  </si>
  <si>
    <t>NL47</t>
  </si>
  <si>
    <t>DE04</t>
  </si>
  <si>
    <t>HU01</t>
  </si>
  <si>
    <t>ES17</t>
  </si>
  <si>
    <t>ES05</t>
  </si>
  <si>
    <t>NL30</t>
  </si>
  <si>
    <t>RO01</t>
  </si>
  <si>
    <t>RO02</t>
  </si>
  <si>
    <t>ES86</t>
  </si>
  <si>
    <t>MX15</t>
  </si>
  <si>
    <t>LU03</t>
  </si>
  <si>
    <t>NL58</t>
  </si>
  <si>
    <t>PL01</t>
  </si>
  <si>
    <t>SK01</t>
  </si>
  <si>
    <t>HT01</t>
  </si>
  <si>
    <t>ES84</t>
  </si>
  <si>
    <t>ES87</t>
  </si>
  <si>
    <t>NL31</t>
  </si>
  <si>
    <t>NL11</t>
  </si>
  <si>
    <t>MX19</t>
  </si>
  <si>
    <t>MX20</t>
  </si>
  <si>
    <t>AT01</t>
  </si>
  <si>
    <t>ZA01</t>
  </si>
  <si>
    <t>AR03</t>
  </si>
  <si>
    <t>AR04</t>
  </si>
  <si>
    <t>AR05</t>
  </si>
  <si>
    <t>AR06</t>
  </si>
  <si>
    <t>AR07</t>
  </si>
  <si>
    <t>ES48</t>
  </si>
  <si>
    <t>ES49</t>
  </si>
  <si>
    <t>DE03</t>
  </si>
  <si>
    <t>DE02</t>
  </si>
  <si>
    <t>CZ02</t>
  </si>
  <si>
    <t>ES22</t>
  </si>
  <si>
    <t>ES52</t>
  </si>
  <si>
    <t>ES21</t>
  </si>
  <si>
    <t>ES53</t>
  </si>
  <si>
    <t>CZ03</t>
  </si>
  <si>
    <t>NL41</t>
  </si>
  <si>
    <t>ES85</t>
  </si>
  <si>
    <t>ES54</t>
  </si>
  <si>
    <t>NL53</t>
  </si>
  <si>
    <t>NH S</t>
  </si>
  <si>
    <t>NH A</t>
  </si>
  <si>
    <t>DO01</t>
  </si>
  <si>
    <t>ES20</t>
  </si>
  <si>
    <t>ES57</t>
  </si>
  <si>
    <t>ES58</t>
  </si>
  <si>
    <t>ES59</t>
  </si>
  <si>
    <t>ES60</t>
  </si>
  <si>
    <t>ES61</t>
  </si>
  <si>
    <t>ES62</t>
  </si>
  <si>
    <t>ES64</t>
  </si>
  <si>
    <t>ES65</t>
  </si>
  <si>
    <t>ES66</t>
  </si>
  <si>
    <t>ES67</t>
  </si>
  <si>
    <t>ES68</t>
  </si>
  <si>
    <t>ES69</t>
  </si>
  <si>
    <t>ES70</t>
  </si>
  <si>
    <t>ES71</t>
  </si>
  <si>
    <t>ES73</t>
  </si>
  <si>
    <t>ES72</t>
  </si>
  <si>
    <t>ES74</t>
  </si>
  <si>
    <t>ES75</t>
  </si>
  <si>
    <t>ES76</t>
  </si>
  <si>
    <t>VE02</t>
  </si>
  <si>
    <t>VE03</t>
  </si>
  <si>
    <t>AD01</t>
  </si>
  <si>
    <t>VE04</t>
  </si>
  <si>
    <t>NL72</t>
  </si>
  <si>
    <t>PT02</t>
  </si>
  <si>
    <t>MX26</t>
  </si>
  <si>
    <t>MX02</t>
  </si>
  <si>
    <t>MX23</t>
  </si>
  <si>
    <t>MX16</t>
  </si>
  <si>
    <t>MX10</t>
  </si>
  <si>
    <t>NL48</t>
  </si>
  <si>
    <t>NL71</t>
  </si>
  <si>
    <t>CL04</t>
  </si>
  <si>
    <t>CO03</t>
  </si>
  <si>
    <t>CO04</t>
  </si>
  <si>
    <t>CO05</t>
  </si>
  <si>
    <t>CO06</t>
  </si>
  <si>
    <t>CO07</t>
  </si>
  <si>
    <t>CO09</t>
  </si>
  <si>
    <t>CO10</t>
  </si>
  <si>
    <t>CO11</t>
  </si>
  <si>
    <t>CO12</t>
  </si>
  <si>
    <t>CO13</t>
  </si>
  <si>
    <t>CO14</t>
  </si>
  <si>
    <t>CO15</t>
  </si>
  <si>
    <t>CO16</t>
  </si>
  <si>
    <t>CO17</t>
  </si>
  <si>
    <t>EC01</t>
  </si>
  <si>
    <t>IT01</t>
  </si>
  <si>
    <t>IT03</t>
  </si>
  <si>
    <t>IT02</t>
  </si>
  <si>
    <t>UK01</t>
  </si>
  <si>
    <t>UK02</t>
  </si>
  <si>
    <t>FR01</t>
  </si>
  <si>
    <t>NL59</t>
  </si>
  <si>
    <t>BE03</t>
  </si>
  <si>
    <t>DE07</t>
  </si>
  <si>
    <t>US02</t>
  </si>
  <si>
    <t>IT04</t>
  </si>
  <si>
    <t>IT05</t>
  </si>
  <si>
    <t>IT06</t>
  </si>
  <si>
    <t>Company</t>
  </si>
  <si>
    <t>LAND1</t>
  </si>
  <si>
    <t>LANDX</t>
  </si>
  <si>
    <t>AD</t>
  </si>
  <si>
    <t>Andorran</t>
  </si>
  <si>
    <t>AR</t>
  </si>
  <si>
    <t>Argentina</t>
  </si>
  <si>
    <t>AT</t>
  </si>
  <si>
    <t>Austria</t>
  </si>
  <si>
    <t>BE</t>
  </si>
  <si>
    <t>Belgium</t>
  </si>
  <si>
    <t>BR</t>
  </si>
  <si>
    <t>Brazil</t>
  </si>
  <si>
    <t>CH</t>
  </si>
  <si>
    <t>Switzerland</t>
  </si>
  <si>
    <t>CL</t>
  </si>
  <si>
    <t>Chile</t>
  </si>
  <si>
    <t>CN</t>
  </si>
  <si>
    <t>China</t>
  </si>
  <si>
    <t>CZ</t>
  </si>
  <si>
    <t>Czech Republic</t>
  </si>
  <si>
    <t>DE</t>
  </si>
  <si>
    <t>Germany</t>
  </si>
  <si>
    <t>DO</t>
  </si>
  <si>
    <t>Dominican Rep.</t>
  </si>
  <si>
    <t>ES</t>
  </si>
  <si>
    <t>FR</t>
  </si>
  <si>
    <t>France</t>
  </si>
  <si>
    <t>GB</t>
  </si>
  <si>
    <t>United Kingdom</t>
  </si>
  <si>
    <t>HT</t>
  </si>
  <si>
    <t>Haiti</t>
  </si>
  <si>
    <t>HU</t>
  </si>
  <si>
    <t>Hungary</t>
  </si>
  <si>
    <t>IT</t>
  </si>
  <si>
    <t>LU</t>
  </si>
  <si>
    <t>Luxembourg</t>
  </si>
  <si>
    <t>MX</t>
  </si>
  <si>
    <t>Mexico</t>
  </si>
  <si>
    <t>NL</t>
  </si>
  <si>
    <t>Netherlands</t>
  </si>
  <si>
    <t>PA</t>
  </si>
  <si>
    <t>Panama</t>
  </si>
  <si>
    <t>PL</t>
  </si>
  <si>
    <t>Poland</t>
  </si>
  <si>
    <t>PT</t>
  </si>
  <si>
    <t>Portugal</t>
  </si>
  <si>
    <t>RO</t>
  </si>
  <si>
    <t>Romania</t>
  </si>
  <si>
    <t>SK</t>
  </si>
  <si>
    <t>Slovakia</t>
  </si>
  <si>
    <t>US</t>
  </si>
  <si>
    <t>USA</t>
  </si>
  <si>
    <t>UY</t>
  </si>
  <si>
    <t>Uruguay</t>
  </si>
  <si>
    <t>VE</t>
  </si>
  <si>
    <t>Venezuela</t>
  </si>
  <si>
    <t>ZA</t>
  </si>
  <si>
    <t>South Africa</t>
  </si>
  <si>
    <t>Type of Rent</t>
  </si>
  <si>
    <t>Rent description</t>
  </si>
  <si>
    <t>C/ Numancia 74, Barcelona</t>
  </si>
  <si>
    <t>Rent agreement</t>
  </si>
  <si>
    <t>EUR</t>
  </si>
  <si>
    <t xml:space="preserve">To be paid by the Landlord (cl. 5). </t>
  </si>
  <si>
    <t xml:space="preserve">Not foreseen </t>
  </si>
  <si>
    <t>Not foreseen</t>
  </si>
  <si>
    <t>Maintenance works needed for the proper conservation of the building, its furniture and equipment (excluding the maintenance works assumed and paid by the Landlord according to the prior column named "Mainteinance (ordinary &amp;extraordinary) Landlord") (cl. 6).</t>
  </si>
  <si>
    <t xml:space="preserve">The name of the hotel may be unilaterally changed by the Tenant (cl. 12). </t>
  </si>
  <si>
    <t>Legal deposit according to LAU (cl. 13).</t>
  </si>
  <si>
    <t xml:space="preserve">Pontegadea Inmobiliaria, S.L.U. </t>
  </si>
  <si>
    <t>October 5, 2014</t>
  </si>
  <si>
    <t>June 12, 2008
(No certificate of delivery provided) (cl. 2)</t>
  </si>
  <si>
    <t xml:space="preserve">Investments to be carried out by the Tenant  to upgrade the hotel to a 4 starts hotel. In exchange of these investments, the Landlord agrees to a rent reduction as from year 2014 (included). </t>
  </si>
  <si>
    <t xml:space="preserve">The Tenant has the right to extend the agreement for an additional period of 10 years provided it delivers a 1 year in advance prior notice to the Landlord (cl. 2). </t>
  </si>
  <si>
    <r>
      <rPr>
        <u/>
        <sz val="10"/>
        <color theme="1"/>
        <rFont val="Calibri"/>
        <family val="2"/>
        <scheme val="minor"/>
      </rPr>
      <t>At the request of the Tenant</t>
    </r>
    <r>
      <rPr>
        <sz val="10"/>
        <color theme="1"/>
        <rFont val="Calibri"/>
        <family val="2"/>
        <scheme val="minor"/>
      </rPr>
      <t xml:space="preserve">: Not foreseen 
</t>
    </r>
    <r>
      <rPr>
        <u/>
        <sz val="10"/>
        <color theme="1"/>
        <rFont val="Calibri"/>
        <family val="2"/>
        <scheme val="minor"/>
      </rPr>
      <t>At the request of the Landlord</t>
    </r>
    <r>
      <rPr>
        <sz val="10"/>
        <color theme="1"/>
        <rFont val="Calibri"/>
        <family val="2"/>
        <scheme val="minor"/>
      </rPr>
      <t>: Not foreseen</t>
    </r>
  </si>
  <si>
    <t>Eearly termination by the Tenant in breach of the agreement will entail a penalty to be paid by the Tenant amounting to all the pending rents until the termination date of the initial period or the current extension (cl. 2).</t>
  </si>
  <si>
    <r>
      <rPr>
        <u/>
        <sz val="10"/>
        <color theme="1"/>
        <rFont val="Calibri"/>
        <family val="2"/>
        <scheme val="minor"/>
      </rPr>
      <t>Frequency</t>
    </r>
    <r>
      <rPr>
        <sz val="10"/>
        <color theme="1"/>
        <rFont val="Calibri"/>
        <family val="2"/>
        <scheme val="minor"/>
      </rPr>
      <t xml:space="preserve">: Monthly in arrears during the first 5 days of the following month (cl. 3 of the lease agreement and cl. 2 of the Addenda)
</t>
    </r>
    <r>
      <rPr>
        <u/>
        <sz val="10"/>
        <color theme="1"/>
        <rFont val="Calibri"/>
        <family val="2"/>
        <scheme val="minor"/>
      </rPr>
      <t>Payment method</t>
    </r>
    <r>
      <rPr>
        <sz val="10"/>
        <color theme="1"/>
        <rFont val="Calibri"/>
        <family val="2"/>
        <scheme val="minor"/>
      </rPr>
      <t>: Transfer (cl. 3 of the lease agreement and cl. 2 of the Addenda)</t>
    </r>
  </si>
  <si>
    <r>
      <t xml:space="preserve">Yes (cl 4 of the Addenda)
</t>
    </r>
    <r>
      <rPr>
        <u/>
        <sz val="10"/>
        <color theme="1"/>
        <rFont val="Calibri"/>
        <family val="2"/>
        <scheme val="minor"/>
      </rPr>
      <t>Frequency</t>
    </r>
    <r>
      <rPr>
        <sz val="10"/>
        <color theme="1"/>
        <rFont val="Calibri"/>
        <family val="2"/>
        <scheme val="minor"/>
      </rPr>
      <t xml:space="preserve">: Quarterly (within the first 20 days - not specificed whether they are calendar or labor days - as from the termination of each quarter). 
</t>
    </r>
    <r>
      <rPr>
        <u/>
        <sz val="10"/>
        <color theme="1"/>
        <rFont val="Calibri"/>
        <family val="2"/>
        <scheme val="minor"/>
      </rPr>
      <t>Requested information</t>
    </r>
    <r>
      <rPr>
        <sz val="10"/>
        <color theme="1"/>
        <rFont val="Calibri"/>
        <family val="2"/>
        <scheme val="minor"/>
      </rPr>
      <t>: Operating results of the business carried out in the building (in Spanish "</t>
    </r>
    <r>
      <rPr>
        <i/>
        <sz val="10"/>
        <color theme="1"/>
        <rFont val="Calibri"/>
        <family val="2"/>
        <scheme val="minor"/>
      </rPr>
      <t>magnitudes de explotación"</t>
    </r>
    <r>
      <rPr>
        <sz val="10"/>
        <color theme="1"/>
        <rFont val="Calibri"/>
        <family val="2"/>
        <scheme val="minor"/>
      </rPr>
      <t xml:space="preserve">) and a comparison report between such figures and the relevant figures of the same period last year. 
</t>
    </r>
  </si>
  <si>
    <r>
      <rPr>
        <u/>
        <sz val="10"/>
        <color theme="1"/>
        <rFont val="Calibri"/>
        <family val="2"/>
        <scheme val="minor"/>
      </rPr>
      <t>To be subscribed and paid by the Landlord</t>
    </r>
    <r>
      <rPr>
        <sz val="10"/>
        <color theme="1"/>
        <rFont val="Calibri"/>
        <family val="2"/>
        <scheme val="minor"/>
      </rPr>
      <t xml:space="preserve">: Multi risk insurance covering the building and a civil liability insurance (no minimum insured amount regulated) (cl. 11).
</t>
    </r>
    <r>
      <rPr>
        <u/>
        <sz val="10"/>
        <color theme="1"/>
        <rFont val="Calibri"/>
        <family val="2"/>
        <scheme val="minor"/>
      </rPr>
      <t>To be subscribed and paid by the Tenant</t>
    </r>
    <r>
      <rPr>
        <sz val="10"/>
        <color theme="1"/>
        <rFont val="Calibri"/>
        <family val="2"/>
        <scheme val="minor"/>
      </rPr>
      <t xml:space="preserve">: Multi risk insurance covering furniture and equipment and  a civil liability for third parties insurance (unlimited insured amount) (cl. 11). </t>
    </r>
  </si>
  <si>
    <t xml:space="preserve">No general provision foreseen. 
Notwithstanding the foregoing, it is expressly regulated that any party may  pay the insurance premium of the insurances to be subscribed and paid by the other party if such party breaches its obligation to do so. Liquidation of such payments shall be made in a monthly basis. (cl. 11). </t>
  </si>
  <si>
    <r>
      <rPr>
        <u/>
        <sz val="10"/>
        <color theme="1"/>
        <rFont val="Calibri"/>
        <family val="2"/>
        <scheme val="minor"/>
      </rPr>
      <t>Assingment</t>
    </r>
    <r>
      <rPr>
        <sz val="10"/>
        <color theme="1"/>
        <rFont val="Calibri"/>
        <family val="2"/>
        <scheme val="minor"/>
      </rPr>
      <t xml:space="preserve">: Not authorized in favour of third parties (cl. 8). 
</t>
    </r>
    <r>
      <rPr>
        <u/>
        <sz val="10"/>
        <color theme="1"/>
        <rFont val="Calibri"/>
        <family val="2"/>
        <scheme val="minor"/>
      </rPr>
      <t>Merger</t>
    </r>
    <r>
      <rPr>
        <sz val="10"/>
        <color theme="1"/>
        <rFont val="Calibri"/>
        <family val="2"/>
        <scheme val="minor"/>
      </rPr>
      <t xml:space="preserve">: Authorized regardless of the fact that third parties are involved (cl. 8). Application of article 32 of the LAU (rent increase) is expressly excluded (cl. 8).   
</t>
    </r>
    <r>
      <rPr>
        <u/>
        <sz val="10"/>
        <color theme="1"/>
        <rFont val="Calibri"/>
        <family val="2"/>
        <scheme val="minor"/>
      </rPr>
      <t>Spin off</t>
    </r>
    <r>
      <rPr>
        <sz val="10"/>
        <color theme="1"/>
        <rFont val="Calibri"/>
        <family val="2"/>
        <scheme val="minor"/>
      </rPr>
      <t>: Authorized only if the resulting company from the spin off which will assume the lease agreement is 50% (or higher) owned by the Tenant. Application of article 32 of the LAU (rent increase) is expressly excluded (cl. 8).</t>
    </r>
  </si>
  <si>
    <r>
      <rPr>
        <u/>
        <sz val="10"/>
        <color theme="1"/>
        <rFont val="Calibri"/>
        <family val="2"/>
        <scheme val="minor"/>
      </rPr>
      <t>Total sublease</t>
    </r>
    <r>
      <rPr>
        <sz val="10"/>
        <color theme="1"/>
        <rFont val="Calibri"/>
        <family val="2"/>
        <scheme val="minor"/>
      </rPr>
      <t xml:space="preserve">: Not allowed (cl. 9).
</t>
    </r>
    <r>
      <rPr>
        <u/>
        <sz val="10"/>
        <color theme="1"/>
        <rFont val="Calibri"/>
        <family val="2"/>
        <scheme val="minor"/>
      </rPr>
      <t>Partial sublease</t>
    </r>
    <r>
      <rPr>
        <sz val="10"/>
        <color theme="1"/>
        <rFont val="Calibri"/>
        <family val="2"/>
        <scheme val="minor"/>
      </rPr>
      <t xml:space="preserve">: Allowed provided that the subleased surface is equal or less than the 25% of the total  surface of the bulding (cl. 9). Application of article 32 of the LAU (rent increase) is </t>
    </r>
    <r>
      <rPr>
        <u/>
        <sz val="10"/>
        <color theme="1"/>
        <rFont val="Calibri"/>
        <family val="2"/>
        <scheme val="minor"/>
      </rPr>
      <t>not</t>
    </r>
    <r>
      <rPr>
        <sz val="10"/>
        <color theme="1"/>
        <rFont val="Calibri"/>
        <family val="2"/>
        <scheme val="minor"/>
      </rPr>
      <t xml:space="preserve"> expressly excluded (cl. 8).
Please note that the Tenant had sublet 3 underground floors of the bulding to Promoparc Subterráneo Servicios, S.L. (see "Any other comment" column for further details). </t>
    </r>
  </si>
  <si>
    <t>June 12, 2028 (20 years as from the initial date)  (cl. 2)</t>
  </si>
  <si>
    <r>
      <rPr>
        <u/>
        <sz val="10"/>
        <color theme="1"/>
        <rFont val="Calibri"/>
        <family val="2"/>
        <scheme val="minor"/>
      </rPr>
      <t>Rent for 2014 and 2015</t>
    </r>
    <r>
      <rPr>
        <sz val="10"/>
        <color theme="1"/>
        <rFont val="Calibri"/>
        <family val="2"/>
        <scheme val="minor"/>
      </rPr>
      <t xml:space="preserve">: € 1,700,000/ year 
</t>
    </r>
    <r>
      <rPr>
        <u/>
        <sz val="10"/>
        <color theme="1"/>
        <rFont val="Calibri"/>
        <family val="2"/>
        <scheme val="minor"/>
      </rPr>
      <t>Rent for 2016</t>
    </r>
    <r>
      <rPr>
        <sz val="10"/>
        <color theme="1"/>
        <rFont val="Calibri"/>
        <family val="2"/>
        <scheme val="minor"/>
      </rPr>
      <t xml:space="preserve">: € 1,803,804.96 updated according to the CPI increase from January 1, 2013 to December 31, 2015.
</t>
    </r>
    <r>
      <rPr>
        <u/>
        <sz val="10"/>
        <color theme="1"/>
        <rFont val="Calibri"/>
        <family val="2"/>
        <scheme val="minor"/>
      </rPr>
      <t>Rent for 2017 and following years</t>
    </r>
    <r>
      <rPr>
        <sz val="10"/>
        <color theme="1"/>
        <rFont val="Calibri"/>
        <family val="2"/>
        <scheme val="minor"/>
      </rPr>
      <t>: Updated annually according to CPI annual variation using as basis for the increase the rent of the previous year. First rent update applicable as from Janyary 1, 2017.
Please note that the described rent is subject to the execution by the Tenant of certain investements (min. € 179,840.73) foreseen in the  Addenda. Such investments shall be made before March 31, 2015. In the event the Tenant breaches its compromise to carry out the referred investments (or the Hotel does not obtain, for any reason, a 4 starts category), the fees reduction set forth in the Addenda will not apply. Therefore, the Tenant shall pay to the Landlord the diferrence between the rent forseen in the lease agreement  and the reduced rent set forth in the Addenda plus the legal interest rate from the date from which the original rent should have been paid until the date the obligation to pay is fulfilled (cl. 3 of the Addenda).</t>
    </r>
  </si>
  <si>
    <t>Yes 
(Please see "Rent description" column for further details)</t>
  </si>
  <si>
    <t>No
(Please see "Rent description" column for further details regarding rent calculation)</t>
  </si>
  <si>
    <r>
      <t xml:space="preserve">Yes (cl. 10)
</t>
    </r>
    <r>
      <rPr>
        <u/>
        <sz val="10"/>
        <color theme="1"/>
        <rFont val="Calibri"/>
        <family val="2"/>
        <scheme val="minor"/>
      </rPr>
      <t>Holder of the purchase option right</t>
    </r>
    <r>
      <rPr>
        <sz val="10"/>
        <color theme="1"/>
        <rFont val="Calibri"/>
        <family val="2"/>
        <scheme val="minor"/>
      </rPr>
      <t xml:space="preserve">: Tenant.
</t>
    </r>
    <r>
      <rPr>
        <u/>
        <sz val="10"/>
        <color theme="1"/>
        <rFont val="Calibri"/>
        <family val="2"/>
        <scheme val="minor"/>
      </rPr>
      <t>Purchase opiton execution conditions</t>
    </r>
    <r>
      <rPr>
        <sz val="10"/>
        <color theme="1"/>
        <rFont val="Calibri"/>
        <family val="2"/>
        <scheme val="minor"/>
      </rPr>
      <t xml:space="preserve">: Equal conditions as the ones offered by the Landlord to the potential acquirer. 
</t>
    </r>
    <r>
      <rPr>
        <u/>
        <sz val="10"/>
        <color theme="1"/>
        <rFont val="Calibri"/>
        <family val="2"/>
        <scheme val="minor"/>
      </rPr>
      <t>Formalities</t>
    </r>
    <r>
      <rPr>
        <sz val="10"/>
        <color theme="1"/>
        <rFont val="Calibri"/>
        <family val="2"/>
        <scheme val="minor"/>
      </rPr>
      <t xml:space="preserve">: Tenant has 15 days (not specificed whether they are calendar or labor days) as from the formal notification of the Landlord of its willignes to sell the building (including at least: name of the buyer, price and method of payment) to communicate to the Landlord whether it is interested in  exercising its purchase right or not. 
</t>
    </r>
    <r>
      <rPr>
        <u/>
        <sz val="10"/>
        <color theme="1"/>
        <rFont val="Calibri"/>
        <family val="2"/>
        <scheme val="minor"/>
      </rPr>
      <t>Sales not subject to the Tenant's purchase option</t>
    </r>
    <r>
      <rPr>
        <sz val="10"/>
        <color theme="1"/>
        <rFont val="Calibri"/>
        <family val="2"/>
        <scheme val="minor"/>
      </rPr>
      <t>: (i) Sales in favour of companies included in the same group of the Landlord according to article 42 of the Spanish Commercial Code ("</t>
    </r>
    <r>
      <rPr>
        <i/>
        <sz val="10"/>
        <color theme="1"/>
        <rFont val="Calibri"/>
        <family val="2"/>
        <scheme val="minor"/>
      </rPr>
      <t>Código de comercio"</t>
    </r>
    <r>
      <rPr>
        <sz val="10"/>
        <color theme="1"/>
        <rFont val="Calibri"/>
        <family val="2"/>
        <scheme val="minor"/>
      </rPr>
      <t xml:space="preserve">), or (ii) sales in favour of companies in which the "Natural Person" owns at least 50 % of its stake. Natural Person shall mean the natural person who fully owns the company which, in turns,is the holder of all Landlord's interest. </t>
    </r>
  </si>
  <si>
    <t xml:space="preserve">Not foreseen
Please note however a legal rent guarantee according to applicable Spanish regulations shall be granted (cl. 13). </t>
  </si>
  <si>
    <t>Yes (Addenda)
According to the Addenda the Tenant shall carry out certain investments in the buliding (min. € 179,840.73). Please note that such investments shall be made before 3-31-2015.</t>
  </si>
  <si>
    <r>
      <t>Maintenance works needed for the proper conservation of the general  bulding's structure and the structural elements of the  front of the bulding (in Spanish "</t>
    </r>
    <r>
      <rPr>
        <i/>
        <sz val="10"/>
        <color theme="1"/>
        <rFont val="Calibri"/>
        <family val="2"/>
        <scheme val="minor"/>
      </rPr>
      <t xml:space="preserve">fachadas") </t>
    </r>
    <r>
      <rPr>
        <sz val="10"/>
        <color theme="1"/>
        <rFont val="Calibri"/>
        <family val="2"/>
        <scheme val="minor"/>
      </rPr>
      <t>and roofs (in Spanish "</t>
    </r>
    <r>
      <rPr>
        <i/>
        <sz val="10"/>
        <color theme="1"/>
        <rFont val="Calibri"/>
        <family val="2"/>
        <scheme val="minor"/>
      </rPr>
      <t>cubiertas</t>
    </r>
    <r>
      <rPr>
        <sz val="10"/>
        <color theme="1"/>
        <rFont val="Calibri"/>
        <family val="2"/>
        <scheme val="minor"/>
      </rPr>
      <t xml:space="preserve">") (cl. 6).  
Works described above will neither be assumed nor paied by the Landlord if prior works executed by the Tenant have modified the referred structural elements. </t>
    </r>
  </si>
  <si>
    <r>
      <rPr>
        <u/>
        <sz val="10"/>
        <color theme="1"/>
        <rFont val="Calibri"/>
        <family val="2"/>
        <scheme val="minor"/>
      </rPr>
      <t>Assingment</t>
    </r>
    <r>
      <rPr>
        <sz val="10"/>
        <color theme="1"/>
        <rFont val="Calibri"/>
        <family val="2"/>
        <scheme val="minor"/>
      </rPr>
      <t>: Authorized in favour of companies in which the Tenant owns a 50% (or higher) interest. Please note that the assignor shall held this minimum 50% interest over the assignee during the whole duration of the lease agreement. The assignor and assignee will be jointly and severally liable for any issue arising from the lease agreement. Application of article 32 of the f the Spanish Law for Urban Rents ("Ley de arrendamientos Urbanos") ("</t>
    </r>
    <r>
      <rPr>
        <b/>
        <sz val="10"/>
        <color theme="1"/>
        <rFont val="Calibri"/>
        <family val="2"/>
        <scheme val="minor"/>
      </rPr>
      <t>LAU</t>
    </r>
    <r>
      <rPr>
        <sz val="10"/>
        <color theme="1"/>
        <rFont val="Calibri"/>
        <family val="2"/>
        <scheme val="minor"/>
      </rPr>
      <t xml:space="preserve">") (rent increase) is not expressly excluded (cl. 8).
</t>
    </r>
    <r>
      <rPr>
        <u/>
        <sz val="10"/>
        <color theme="1"/>
        <rFont val="Calibri"/>
        <family val="2"/>
        <scheme val="minor"/>
      </rPr>
      <t>Merger</t>
    </r>
    <r>
      <rPr>
        <sz val="10"/>
        <color theme="1"/>
        <rFont val="Calibri"/>
        <family val="2"/>
        <scheme val="minor"/>
      </rPr>
      <t xml:space="preserve">: Authorized. Application of article 32 of the LAU (rent increase) is expressly excluded (cl. 8).
</t>
    </r>
    <r>
      <rPr>
        <u/>
        <sz val="10"/>
        <color theme="1"/>
        <rFont val="Calibri"/>
        <family val="2"/>
        <scheme val="minor"/>
      </rPr>
      <t>Spin off</t>
    </r>
    <r>
      <rPr>
        <sz val="10"/>
        <color theme="1"/>
        <rFont val="Calibri"/>
        <family val="2"/>
        <scheme val="minor"/>
      </rPr>
      <t xml:space="preserve">: Authorized provided that the Tenant owns a 50% (or higher) interest in the company resulting from the spin off which will assume the lease agreement. Please note that the Tenant shall held this minimum 50% interest over the resulting company during the whole duration of the lease agreement. Application of article 32 of the LAU (rent increase) is expressly excluded (cl. 8).
</t>
    </r>
    <r>
      <rPr>
        <u/>
        <sz val="10"/>
        <color theme="1"/>
        <rFont val="Calibri"/>
        <family val="2"/>
        <scheme val="minor"/>
      </rPr>
      <t>Transformation</t>
    </r>
    <r>
      <rPr>
        <sz val="10"/>
        <color theme="1"/>
        <rFont val="Calibri"/>
        <family val="2"/>
        <scheme val="minor"/>
      </rPr>
      <t xml:space="preserve">: Authorized. Application of article 32 of the LAU (rent increase) is expressly excluded (cl. 8).
</t>
    </r>
    <r>
      <rPr>
        <u/>
        <sz val="10"/>
        <color theme="1"/>
        <rFont val="Calibri"/>
        <family val="2"/>
        <scheme val="minor"/>
      </rPr>
      <t/>
    </r>
  </si>
  <si>
    <r>
      <t>1.- The Tenant entered into a Lease of Space Agreement (In Spanish "</t>
    </r>
    <r>
      <rPr>
        <i/>
        <sz val="10"/>
        <color theme="1"/>
        <rFont val="Calibri"/>
        <family val="2"/>
        <scheme val="minor"/>
      </rPr>
      <t>Contrato de cesión de espacio y cesión de aparcamiento"</t>
    </r>
    <r>
      <rPr>
        <sz val="10"/>
        <color theme="1"/>
        <rFont val="Calibri"/>
        <family val="2"/>
        <scheme val="minor"/>
      </rPr>
      <t>) with  Promoparc Subterráneo Servicios, S.L. ("</t>
    </r>
    <r>
      <rPr>
        <b/>
        <sz val="10"/>
        <color theme="1"/>
        <rFont val="Calibri"/>
        <family val="2"/>
        <scheme val="minor"/>
      </rPr>
      <t>Promoparc</t>
    </r>
    <r>
      <rPr>
        <sz val="10"/>
        <color theme="1"/>
        <rFont val="Calibri"/>
        <family val="2"/>
        <scheme val="minor"/>
      </rPr>
      <t xml:space="preserve">") on July 31st, 2013. Please see below a non-exhaustive list of certain characteristics of the agreement: 
(i) </t>
    </r>
    <r>
      <rPr>
        <u/>
        <sz val="10"/>
        <color theme="1"/>
        <rFont val="Calibri"/>
        <family val="2"/>
        <scheme val="minor"/>
      </rPr>
      <t>Object</t>
    </r>
    <r>
      <rPr>
        <sz val="10"/>
        <color theme="1"/>
        <rFont val="Calibri"/>
        <family val="2"/>
        <scheme val="minor"/>
      </rPr>
      <t xml:space="preserve">: Sublease by the Tenant of 3 underground floors (numbers 1, 2 and 3) of the building to be exploted by Promoparc  as a parking zone for the hotel clients and third parties. 
(ii) </t>
    </r>
    <r>
      <rPr>
        <u/>
        <sz val="10"/>
        <color theme="1"/>
        <rFont val="Calibri"/>
        <family val="2"/>
        <scheme val="minor"/>
      </rPr>
      <t>Duration</t>
    </r>
    <r>
      <rPr>
        <sz val="10"/>
        <color theme="1"/>
        <rFont val="Calibri"/>
        <family val="2"/>
        <scheme val="minor"/>
      </rPr>
      <t xml:space="preserve">: 10 years as from August 1st, 2013 (i.e. until August 1st 2023). Automatic renewals for 1 year additional periods shall apply unless otherwise notified by either party with a 3 months in advance notice. 
</t>
    </r>
    <r>
      <rPr>
        <sz val="10"/>
        <color theme="1"/>
        <rFont val="Calibri"/>
        <family val="2"/>
        <scheme val="minor"/>
      </rPr>
      <t xml:space="preserve">
(iii) </t>
    </r>
    <r>
      <rPr>
        <u/>
        <sz val="10"/>
        <color theme="1"/>
        <rFont val="Calibri"/>
        <family val="2"/>
        <scheme val="minor"/>
      </rPr>
      <t>Rent</t>
    </r>
    <r>
      <rPr>
        <sz val="10"/>
        <color theme="1"/>
        <rFont val="Calibri"/>
        <family val="2"/>
        <scheme val="minor"/>
      </rPr>
      <t xml:space="preserve">: Rent will comprise a fix and a variable part: (1) </t>
    </r>
    <r>
      <rPr>
        <u/>
        <sz val="10"/>
        <color theme="1"/>
        <rFont val="Calibri"/>
        <family val="2"/>
        <scheme val="minor"/>
      </rPr>
      <t>fix rent</t>
    </r>
    <r>
      <rPr>
        <sz val="10"/>
        <color theme="1"/>
        <rFont val="Calibri"/>
        <family val="2"/>
        <scheme val="minor"/>
      </rPr>
      <t xml:space="preserve">: € 92,196.60 (this figure refers to the rent applicable from August 1, 2013 to August 1, 2014). Afterwards, rent shall be updated annually according to CPI variation. (2) </t>
    </r>
    <r>
      <rPr>
        <u/>
        <sz val="10"/>
        <color theme="1"/>
        <rFont val="Calibri"/>
        <family val="2"/>
        <scheme val="minor"/>
      </rPr>
      <t>Variable rent</t>
    </r>
    <r>
      <rPr>
        <sz val="10"/>
        <color theme="1"/>
        <rFont val="Calibri"/>
        <family val="2"/>
        <scheme val="minor"/>
      </rPr>
      <t>: 50% of the sublesee operating result (in Spanish "</t>
    </r>
    <r>
      <rPr>
        <i/>
        <sz val="10"/>
        <color theme="1"/>
        <rFont val="Calibri"/>
        <family val="2"/>
        <scheme val="minor"/>
      </rPr>
      <t>excedente de explotación</t>
    </r>
    <r>
      <rPr>
        <sz val="10"/>
        <color theme="1"/>
        <rFont val="Calibri"/>
        <family val="2"/>
        <scheme val="minor"/>
      </rPr>
      <t xml:space="preserve">"). 
(iv) </t>
    </r>
    <r>
      <rPr>
        <u/>
        <sz val="10"/>
        <color theme="1"/>
        <rFont val="Calibri"/>
        <family val="2"/>
        <scheme val="minor"/>
      </rPr>
      <t>Extraordinary rent update</t>
    </r>
    <r>
      <rPr>
        <sz val="10"/>
        <color theme="1"/>
        <rFont val="Calibri"/>
        <family val="2"/>
        <scheme val="minor"/>
      </rPr>
      <t xml:space="preserve">: After the first 5 years of the agreement, each party may require the other to agree in a rent updated according to "market standards". Lack of agreement within 6 months as from the initiation of the negotiations will entitle both parties to early terminate the agreement without penalties. 
</t>
    </r>
    <r>
      <rPr>
        <sz val="10"/>
        <color theme="1"/>
        <rFont val="Calibri"/>
        <family val="2"/>
        <scheme val="minor"/>
      </rPr>
      <t xml:space="preserve">2.- Landlord's liability connected to labour issues (i.e. hotel employees claims against the Tenant or Landlord) arising after the terimnation of the lease agreement (for any cause) will be limited to € 1,500,000 (cl. 7). </t>
    </r>
  </si>
  <si>
    <r>
      <t>NH Hoteles España, S.A.
Please note that we have been provided with two agreements:  original lease agreement dated on June 12, 2008 and an addenda dated on October 5, 2014 (the "</t>
    </r>
    <r>
      <rPr>
        <b/>
        <sz val="10"/>
        <color theme="1"/>
        <rFont val="Calibri"/>
        <family val="2"/>
        <scheme val="minor"/>
      </rPr>
      <t>Addenda</t>
    </r>
    <r>
      <rPr>
        <sz val="10"/>
        <color theme="1"/>
        <rFont val="Calibri"/>
        <family val="2"/>
        <scheme val="minor"/>
      </rPr>
      <t xml:space="preserve">")  which have been subscribed by different tenants: NH Numancia, S.A. and NH Hoteles S.A. respectively. 
This change may be due to a change of name of NH Numancia, S.A. or an intragroup assingment. </t>
    </r>
  </si>
  <si>
    <t>Time sumary</t>
  </si>
  <si>
    <t>Summary term</t>
  </si>
  <si>
    <t>Date of notice for extension</t>
  </si>
  <si>
    <t>Early termination right</t>
  </si>
  <si>
    <t>Extension already exercised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</si>
</sst>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45">
    <numFmt numFmtId="6" formatCode="#,##0\ &quot;€&quot;;[Red]\-#,##0\ &quot;€&quot;"/>
    <numFmt numFmtId="7" formatCode="#,##0.00\ &quot;€&quot;;\-#,##0.00\ &quot;€&quot;"/>
    <numFmt numFmtId="42" formatCode="_-* #,##0\ &quot;€&quot;_-;\-* #,##0\ &quot;€&quot;_-;_-* &quot;-&quot;\ &quot;€&quot;_-;_-@_-"/>
    <numFmt numFmtId="44" formatCode="_-* #,##0.00\ &quot;€&quot;_-;\-* #,##0.00\ &quot;€&quot;_-;_-* &quot;-&quot;??\ &quot;€&quot;_-;_-@_-"/>
    <numFmt numFmtId="43" formatCode="_-* #,##0.00\ _€_-;\-* #,##0.00\ _€_-;_-* &quot;-&quot;??\ _€_-;_-@_-"/>
    <numFmt numFmtId="164" formatCode="_-* #,##0.00\ [$€]_-;\-* #,##0.00\ [$€]_-;_-* &quot;-&quot;??\ [$€]_-;_-@_-"/>
    <numFmt numFmtId="165" formatCode="#,##0.0"/>
    <numFmt numFmtId="166" formatCode="#,##0_%_);\(#,##0\)_%;#,##0_%_);@_%_)"/>
    <numFmt numFmtId="167" formatCode="_-* #,##0.00_-;\-* #,##0.00_-;_-* &quot;-&quot;??_-;_-@_-"/>
    <numFmt numFmtId="168" formatCode="_-* #,##0_-;_-* #,##0\-;_-* &quot;-&quot;??_-;_-@_-"/>
    <numFmt numFmtId="169" formatCode="&quot;US$ thousand&quot;#,##0.0;[Red]\(&quot;US$ thousand&quot;#,##0.0\)"/>
    <numFmt numFmtId="170" formatCode="&quot;US$ thousand&quot;#,##0.00;[Red]\(&quot;US$ thousand&quot;#,##0.00\)"/>
    <numFmt numFmtId="171" formatCode="&quot;€&quot;#,##0_%_);\(&quot;€&quot;#,##0\)_%;&quot;€&quot;#,##0_%_);@_%_)"/>
    <numFmt numFmtId="172" formatCode="mmm\-d\-yy"/>
    <numFmt numFmtId="173" formatCode="mmm\-d\-yyyy"/>
    <numFmt numFmtId="174" formatCode="m/d/yy_%_)"/>
    <numFmt numFmtId="175" formatCode="0_%_);\(0\)_%;0_%_);@_%_)"/>
    <numFmt numFmtId="176" formatCode="dd\-mm\-yy;@"/>
    <numFmt numFmtId="177" formatCode="_-[$€-2]* #,##0.00_-;\-[$€-2]* #,##0.00_-;_-[$€-2]* &quot;-&quot;??_-"/>
    <numFmt numFmtId="178" formatCode="###0_);\(###0\)"/>
    <numFmt numFmtId="179" formatCode="0.0\%_);\(0.0\%\);0.0\%_);@_%_)"/>
    <numFmt numFmtId="180" formatCode="_-* #,##0_D_F_L_-;\-* #,##0_D_F_L_-;_-* &quot;-&quot;_D_F_L_-;_-@_-"/>
    <numFmt numFmtId="181" formatCode="0.0\x_)_);&quot;NM&quot;_x_)_);0.0\x_)_);@_%_)"/>
    <numFmt numFmtId="182" formatCode="#,##0.0_);[Red]\(#,##0.0\);&quot;N/A &quot;"/>
    <numFmt numFmtId="183" formatCode="#,##0.0_);[Red]\(#,##0.0\)"/>
    <numFmt numFmtId="184" formatCode="#,##0.000_);[Red]\(#,##0.000\)"/>
    <numFmt numFmtId="185" formatCode="#,##0.00;\(#,##0.00\)"/>
    <numFmt numFmtId="186" formatCode="#,##0.0_)\ \ ;[Red]\(#,##0.0\)\ \ "/>
    <numFmt numFmtId="187" formatCode="0.0%;\(0.0%\)"/>
    <numFmt numFmtId="188" formatCode="0%;[Red]\(0%\)"/>
    <numFmt numFmtId="189" formatCode="0.0%;[Red]\(0.0%\)"/>
    <numFmt numFmtId="190" formatCode="0.00%;[Red]\(0.00%\)"/>
    <numFmt numFmtId="191" formatCode="_-* #,##0&quot;DFL&quot;_-;\-* #,##0&quot;DFL&quot;_-;_-* &quot;-&quot;&quot;DFL&quot;_-;_-@_-"/>
    <numFmt numFmtId="192" formatCode=";;;"/>
    <numFmt numFmtId="193" formatCode="0\ \ ;\(0\)\ \ \ "/>
    <numFmt numFmtId="194" formatCode="&quot;€&quot;#,##0.00_%_);\(&quot;€&quot;#,##0.00\)_%;&quot;€&quot;#,##0.00_%_);@_%_)"/>
    <numFmt numFmtId="195" formatCode="#,##0.00_%_);\(#,##0.00\)_%;#,##0.00_%_);@_%_)"/>
    <numFmt numFmtId="196" formatCode="_-* #,##0.00\ _P_t_s_-;\-* #,##0.00\ _P_t_s_-;_-* &quot;-&quot;??\ _P_t_s_-;_-@_-"/>
    <numFmt numFmtId="197" formatCode="_-* #,##0.00\ _p_t_a_-;\-* #,##0.00\ _p_t_a_-;_-* &quot;-&quot;??\ _p_t_a_-;_-@_-"/>
    <numFmt numFmtId="198" formatCode="_-* #,##0\ _€_-;\-* #,##0\ _€_-;_-* &quot;-&quot;??\ _€_-;_-@_-"/>
    <numFmt numFmtId="199" formatCode="#,##0\ &quot;€&quot;"/>
    <numFmt numFmtId="200" formatCode="#,##0.00;\-#,##0.00"/>
    <numFmt numFmtId="201" formatCode="0.0%"/>
    <numFmt numFmtId="202" formatCode="#,##0.0\ &quot;€&quot;"/>
    <numFmt numFmtId="203" formatCode="#,##0\ [$USD]"/>
  </numFmts>
  <fonts count="100">
    <font>
      <sz val="11"/>
      <color theme="1"/>
      <name val="Calibri"/>
      <family val="2"/>
      <scheme val="minor"/>
    </font>
    <font>
      <sz val="11"/>
      <color indexed="8"/>
      <name val="Calibri"/>
      <family val="2"/>
    </font>
    <font>
      <sz val="11"/>
      <color indexed="8"/>
      <name val="Calibri"/>
      <family val="2"/>
    </font>
    <font>
      <sz val="11"/>
      <color indexed="8"/>
      <name val="Calibri"/>
      <family val="2"/>
    </font>
    <font>
      <sz val="10"/>
      <color indexed="8"/>
      <name val="Arial"/>
      <family val="2"/>
    </font>
    <font>
      <sz val="10"/>
      <name val="Arial"/>
      <family val="2"/>
    </font>
    <font>
      <sz val="11"/>
      <name val="돋움"/>
      <charset val="129"/>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indexed="24"/>
      <name val="Arial"/>
      <family val="2"/>
    </font>
    <font>
      <sz val="8"/>
      <name val="Palatino"/>
      <family val="1"/>
    </font>
    <font>
      <sz val="10"/>
      <name val="CG Times"/>
      <family val="1"/>
    </font>
    <font>
      <sz val="8"/>
      <name val="Arial"/>
      <family val="2"/>
    </font>
    <font>
      <sz val="12"/>
      <name val="Arial"/>
      <family val="2"/>
    </font>
    <font>
      <sz val="11"/>
      <name val="??"/>
      <family val="3"/>
      <charset val="129"/>
    </font>
    <font>
      <b/>
      <sz val="8"/>
      <name val="Arial"/>
      <family val="2"/>
    </font>
    <font>
      <sz val="8"/>
      <color indexed="12"/>
      <name val="Arial"/>
      <family val="2"/>
    </font>
    <font>
      <b/>
      <sz val="11"/>
      <color indexed="56"/>
      <name val="Calibri"/>
      <family val="2"/>
    </font>
    <font>
      <sz val="11"/>
      <color indexed="62"/>
      <name val="Calibri"/>
      <family val="2"/>
    </font>
    <font>
      <i/>
      <sz val="11"/>
      <color indexed="23"/>
      <name val="Calibri"/>
      <family val="2"/>
    </font>
    <font>
      <sz val="10"/>
      <name val="Times New Roman"/>
      <family val="1"/>
    </font>
    <font>
      <b/>
      <sz val="12"/>
      <color indexed="24"/>
      <name val="Arial"/>
      <family val="2"/>
    </font>
    <font>
      <b/>
      <sz val="14"/>
      <color indexed="24"/>
      <name val="Arial"/>
      <family val="2"/>
    </font>
    <font>
      <sz val="7"/>
      <name val="Palatino"/>
      <family val="1"/>
    </font>
    <font>
      <sz val="6"/>
      <color indexed="16"/>
      <name val="Palatino"/>
      <family val="1"/>
    </font>
    <font>
      <b/>
      <sz val="15"/>
      <color indexed="56"/>
      <name val="Calibri"/>
      <family val="2"/>
    </font>
    <font>
      <sz val="18"/>
      <name val="Helvetica-Black"/>
    </font>
    <font>
      <i/>
      <sz val="14"/>
      <name val="Palatino"/>
      <family val="1"/>
    </font>
    <font>
      <sz val="10"/>
      <color indexed="12"/>
      <name val="Arial"/>
      <family val="2"/>
    </font>
    <font>
      <b/>
      <u/>
      <sz val="8.5"/>
      <color indexed="12"/>
      <name val="Verdana"/>
      <family val="2"/>
    </font>
    <font>
      <u/>
      <sz val="10"/>
      <color indexed="36"/>
      <name val="Arial"/>
      <family val="2"/>
    </font>
    <font>
      <sz val="10"/>
      <name val="MS Sans Serif"/>
      <family val="2"/>
    </font>
    <font>
      <sz val="11"/>
      <color indexed="60"/>
      <name val="Calibri"/>
      <family val="2"/>
    </font>
    <font>
      <sz val="10"/>
      <name val="Courier"/>
      <family val="3"/>
    </font>
    <font>
      <b/>
      <sz val="10"/>
      <color indexed="8"/>
      <name val="Verdana"/>
      <family val="2"/>
    </font>
    <font>
      <sz val="12"/>
      <name val="SWISS"/>
    </font>
    <font>
      <b/>
      <sz val="11"/>
      <color indexed="63"/>
      <name val="Calibri"/>
      <family val="2"/>
    </font>
    <font>
      <sz val="10"/>
      <color indexed="16"/>
      <name val="Helvetica-Black"/>
    </font>
    <font>
      <sz val="8"/>
      <color indexed="10"/>
      <name val="Arial"/>
      <family val="2"/>
    </font>
    <font>
      <b/>
      <sz val="10"/>
      <color indexed="24"/>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2"/>
      <name val="Helv"/>
    </font>
    <font>
      <b/>
      <sz val="9"/>
      <name val="Palatino"/>
      <family val="1"/>
    </font>
    <font>
      <sz val="9"/>
      <color indexed="21"/>
      <name val="Helvetica-Black"/>
    </font>
    <font>
      <sz val="9"/>
      <name val="Helvetica-Black"/>
    </font>
    <font>
      <sz val="11"/>
      <color indexed="10"/>
      <name val="Calibri"/>
      <family val="2"/>
    </font>
    <font>
      <b/>
      <sz val="18"/>
      <color indexed="56"/>
      <name val="Cambria"/>
      <family val="2"/>
    </font>
    <font>
      <b/>
      <sz val="13"/>
      <color indexed="56"/>
      <name val="Calibri"/>
      <family val="2"/>
    </font>
    <font>
      <b/>
      <sz val="11"/>
      <color indexed="8"/>
      <name val="Calibri"/>
      <family val="2"/>
    </font>
    <font>
      <sz val="8"/>
      <color indexed="9"/>
      <name val="Arial"/>
      <family val="2"/>
    </font>
    <font>
      <b/>
      <i/>
      <sz val="8"/>
      <name val="Helv"/>
    </font>
    <font>
      <sz val="9"/>
      <color indexed="81"/>
      <name val="Tahoma"/>
      <family val="2"/>
    </font>
    <font>
      <b/>
      <sz val="9"/>
      <color indexed="81"/>
      <name val="Tahoma"/>
      <family val="2"/>
    </font>
    <font>
      <sz val="10"/>
      <name val="Verdana"/>
      <family val="2"/>
    </font>
    <font>
      <u/>
      <sz val="10"/>
      <color indexed="12"/>
      <name val="Arial"/>
      <family val="2"/>
    </font>
    <font>
      <sz val="10"/>
      <color indexed="8"/>
      <name val="Arial"/>
      <family val="2"/>
    </font>
    <font>
      <sz val="11"/>
      <color indexed="8"/>
      <name val="Calibri"/>
      <family val="2"/>
    </font>
    <font>
      <sz val="10"/>
      <color indexed="8"/>
      <name val="Calibri"/>
      <family val="2"/>
    </font>
    <font>
      <sz val="10"/>
      <name val="Calibri"/>
      <family val="2"/>
    </font>
    <font>
      <b/>
      <sz val="10"/>
      <name val="Calibri"/>
      <family val="2"/>
    </font>
    <font>
      <b/>
      <sz val="10"/>
      <color indexed="8"/>
      <name val="Calibri"/>
      <family val="2"/>
    </font>
    <font>
      <b/>
      <sz val="10"/>
      <color indexed="9"/>
      <name val="Calibri"/>
      <family val="2"/>
    </font>
    <font>
      <b/>
      <i/>
      <u/>
      <sz val="10"/>
      <color indexed="8"/>
      <name val="Calibri"/>
      <family val="2"/>
    </font>
    <font>
      <sz val="11"/>
      <name val="Arial"/>
      <family val="2"/>
    </font>
    <font>
      <sz val="9"/>
      <name val="Arial"/>
      <family val="2"/>
    </font>
    <font>
      <sz val="9"/>
      <color indexed="8"/>
      <name val="Arial"/>
      <family val="2"/>
    </font>
    <font>
      <sz val="9"/>
      <color indexed="9"/>
      <name val="Arial"/>
      <family val="2"/>
    </font>
    <font>
      <sz val="9"/>
      <color indexed="8"/>
      <name val="SansSerif.plain"/>
    </font>
    <font>
      <u/>
      <sz val="10"/>
      <name val="Calibri"/>
      <family val="2"/>
    </font>
    <font>
      <b/>
      <sz val="10"/>
      <name val="Arial"/>
      <family val="2"/>
    </font>
    <font>
      <sz val="11"/>
      <color theme="1"/>
      <name val="Calibri"/>
      <family val="2"/>
      <scheme val="minor"/>
    </font>
    <font>
      <b/>
      <sz val="11"/>
      <color theme="0"/>
      <name val="Calibri"/>
      <family val="2"/>
      <scheme val="minor"/>
    </font>
    <font>
      <u/>
      <sz val="11"/>
      <color theme="10"/>
      <name val="Calibri"/>
      <family val="2"/>
      <scheme val="minor"/>
    </font>
    <font>
      <sz val="10"/>
      <color theme="1"/>
      <name val="Calibri"/>
      <family val="2"/>
      <scheme val="minor"/>
    </font>
    <font>
      <sz val="10"/>
      <color theme="1"/>
      <name val="Arial"/>
      <family val="2"/>
    </font>
    <font>
      <sz val="10"/>
      <color theme="1"/>
      <name val="Calibri"/>
      <family val="2"/>
    </font>
    <font>
      <sz val="11"/>
      <color indexed="8"/>
      <name val="Calibri"/>
      <family val="2"/>
      <scheme val="minor"/>
    </font>
    <font>
      <sz val="11"/>
      <color theme="1"/>
      <name val="Calibri"/>
      <family val="2"/>
    </font>
    <font>
      <b/>
      <sz val="11"/>
      <color theme="1"/>
      <name val="Calibri"/>
      <family val="2"/>
      <scheme val="minor"/>
    </font>
    <font>
      <b/>
      <sz val="10"/>
      <color theme="0"/>
      <name val="Calibri"/>
      <family val="2"/>
    </font>
    <font>
      <b/>
      <sz val="10"/>
      <color rgb="FFFF0000"/>
      <name val="Calibri"/>
      <family val="2"/>
    </font>
    <font>
      <sz val="9"/>
      <name val="Calibri"/>
      <family val="2"/>
      <scheme val="minor"/>
    </font>
    <font>
      <sz val="9"/>
      <color theme="1"/>
      <name val="Calibri"/>
      <family val="2"/>
      <scheme val="minor"/>
    </font>
    <font>
      <sz val="10"/>
      <color rgb="FF00B050"/>
      <name val="Calibri"/>
      <family val="2"/>
    </font>
    <font>
      <sz val="11"/>
      <color rgb="FF00B050"/>
      <name val="Calibri"/>
      <family val="2"/>
    </font>
    <font>
      <sz val="10"/>
      <color rgb="FFFF0000"/>
      <name val="Calibri"/>
      <family val="2"/>
    </font>
    <font>
      <sz val="10"/>
      <name val="Calibri"/>
      <family val="2"/>
      <scheme val="minor"/>
    </font>
    <font>
      <b/>
      <sz val="10"/>
      <color theme="0"/>
      <name val="Calibri"/>
      <family val="2"/>
      <scheme val="minor"/>
    </font>
    <font>
      <u/>
      <sz val="10"/>
      <color theme="1"/>
      <name val="Calibri"/>
      <family val="2"/>
      <scheme val="minor"/>
    </font>
    <font>
      <b/>
      <sz val="10"/>
      <color theme="1"/>
      <name val="Calibri"/>
      <family val="2"/>
      <scheme val="minor"/>
    </font>
    <font>
      <i/>
      <sz val="10"/>
      <color theme="1"/>
      <name val="Calibri"/>
      <family val="2"/>
      <scheme val="minor"/>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22"/>
        <bgColor indexed="64"/>
      </patternFill>
    </fill>
    <fill>
      <patternFill patternType="solid">
        <fgColor indexed="43"/>
      </patternFill>
    </fill>
    <fill>
      <patternFill patternType="solid">
        <fgColor indexed="26"/>
      </patternFill>
    </fill>
    <fill>
      <patternFill patternType="lightGray"/>
    </fill>
    <fill>
      <patternFill patternType="solid">
        <fgColor indexed="43"/>
        <bgColor indexed="64"/>
      </patternFill>
    </fill>
    <fill>
      <patternFill patternType="solid">
        <fgColor indexed="10"/>
        <bgColor indexed="64"/>
      </patternFill>
    </fill>
    <fill>
      <patternFill patternType="solid">
        <fgColor indexed="47"/>
        <bgColor indexed="64"/>
      </patternFill>
    </fill>
    <fill>
      <patternFill patternType="solid">
        <fgColor indexed="21"/>
        <bgColor indexed="64"/>
      </patternFill>
    </fill>
    <fill>
      <patternFill patternType="solid">
        <fgColor indexed="44"/>
        <bgColor indexed="48"/>
      </patternFill>
    </fill>
    <fill>
      <patternFill patternType="solid">
        <fgColor indexed="44"/>
        <bgColor indexed="64"/>
      </patternFill>
    </fill>
    <fill>
      <patternFill patternType="solid">
        <fgColor indexed="54"/>
        <bgColor indexed="64"/>
      </patternFill>
    </fill>
    <fill>
      <patternFill patternType="solid">
        <fgColor indexed="9"/>
      </patternFill>
    </fill>
    <fill>
      <patternFill patternType="solid">
        <fgColor indexed="41"/>
      </patternFill>
    </fill>
    <fill>
      <patternFill patternType="gray125">
        <fgColor indexed="8"/>
      </patternFill>
    </fill>
    <fill>
      <patternFill patternType="solid">
        <fgColor indexed="16"/>
        <bgColor indexed="64"/>
      </patternFill>
    </fill>
    <fill>
      <patternFill patternType="solid">
        <fgColor indexed="8"/>
        <bgColor indexed="64"/>
      </patternFill>
    </fill>
    <fill>
      <patternFill patternType="solid">
        <fgColor indexed="9"/>
        <bgColor indexed="64"/>
      </patternFill>
    </fill>
    <fill>
      <patternFill patternType="solid">
        <fgColor indexed="23"/>
      </patternFill>
    </fill>
    <fill>
      <patternFill patternType="solid">
        <fgColor indexed="62"/>
        <bgColor indexed="64"/>
      </patternFill>
    </fill>
    <fill>
      <patternFill patternType="solid">
        <fgColor indexed="22"/>
        <bgColor indexed="9"/>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5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8"/>
        <bgColor indexed="64"/>
      </patternFill>
    </fill>
    <fill>
      <patternFill patternType="solid">
        <fgColor rgb="FFFF0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bgColor indexed="64"/>
      </patternFill>
    </fill>
    <fill>
      <patternFill patternType="solid">
        <fgColor theme="4"/>
        <bgColor indexed="64"/>
      </patternFill>
    </fill>
    <fill>
      <patternFill patternType="solid">
        <fgColor theme="3" tint="0.79998168889431442"/>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bottom style="medium">
        <color indexed="8"/>
      </bottom>
      <diagonal/>
    </border>
    <border>
      <left/>
      <right/>
      <top/>
      <bottom style="thin">
        <color indexed="8"/>
      </bottom>
      <diagonal/>
    </border>
    <border>
      <left/>
      <right/>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tint="-0.499984740745262"/>
      </left>
      <right/>
      <top/>
      <bottom/>
      <diagonal/>
    </border>
    <border>
      <left style="medium">
        <color theme="0" tint="-0.499984740745262"/>
      </left>
      <right/>
      <top/>
      <bottom style="medium">
        <color theme="0" tint="-0.499984740745262"/>
      </bottom>
      <diagonal/>
    </border>
    <border>
      <left style="medium">
        <color theme="0" tint="-0.499984740745262"/>
      </left>
      <right/>
      <top style="medium">
        <color theme="0"/>
      </top>
      <bottom style="medium">
        <color theme="0" tint="-0.499984740745262"/>
      </bottom>
      <diagonal/>
    </border>
    <border>
      <left/>
      <right/>
      <top style="medium">
        <color theme="0"/>
      </top>
      <bottom style="medium">
        <color theme="0" tint="-0.499984740745262"/>
      </bottom>
      <diagonal/>
    </border>
    <border>
      <left/>
      <right style="medium">
        <color theme="0" tint="-0.499984740745262"/>
      </right>
      <top style="medium">
        <color theme="0"/>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right/>
      <top/>
      <bottom style="medium">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style="thin">
        <color theme="0" tint="-0.499984740745262"/>
      </top>
      <bottom style="thin">
        <color indexed="64"/>
      </bottom>
      <diagonal/>
    </border>
    <border>
      <left style="medium">
        <color theme="0" tint="-0.499984740745262"/>
      </left>
      <right/>
      <top style="thin">
        <color theme="0" tint="-0.499984740745262"/>
      </top>
      <bottom/>
      <diagonal/>
    </border>
    <border>
      <left/>
      <right/>
      <top style="medium">
        <color theme="4"/>
      </top>
      <bottom style="medium">
        <color theme="0"/>
      </bottom>
      <diagonal/>
    </border>
    <border>
      <left/>
      <right style="medium">
        <color theme="0"/>
      </right>
      <top style="medium">
        <color theme="4"/>
      </top>
      <bottom style="medium">
        <color theme="0"/>
      </bottom>
      <diagonal/>
    </border>
    <border>
      <left style="medium">
        <color theme="0"/>
      </left>
      <right/>
      <top style="medium">
        <color theme="4"/>
      </top>
      <bottom style="medium">
        <color theme="0"/>
      </bottom>
      <diagonal/>
    </border>
    <border>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right>
      <top style="medium">
        <color theme="0" tint="-0.499984740745262"/>
      </top>
      <bottom/>
      <diagonal/>
    </border>
    <border>
      <left/>
      <right style="medium">
        <color theme="0"/>
      </right>
      <top/>
      <bottom style="medium">
        <color theme="0" tint="-0.499984740745262"/>
      </bottom>
      <diagonal/>
    </border>
    <border>
      <left/>
      <right style="medium">
        <color theme="0" tint="-0.499984740745262"/>
      </right>
      <top style="thin">
        <color theme="0" tint="-0.499984740745262"/>
      </top>
      <bottom/>
      <diagonal/>
    </border>
  </borders>
  <cellStyleXfs count="1568">
    <xf numFmtId="0" fontId="0" fillId="0" borderId="0"/>
    <xf numFmtId="164" fontId="5" fillId="0" borderId="0"/>
    <xf numFmtId="0" fontId="5" fillId="0" borderId="0"/>
    <xf numFmtId="0" fontId="5" fillId="0" borderId="0"/>
    <xf numFmtId="164" fontId="6" fillId="0" borderId="0"/>
    <xf numFmtId="0" fontId="6" fillId="0" borderId="0"/>
    <xf numFmtId="164" fontId="5" fillId="0" borderId="0"/>
    <xf numFmtId="0" fontId="5" fillId="0" borderId="0"/>
    <xf numFmtId="164" fontId="6" fillId="0" borderId="0"/>
    <xf numFmtId="0" fontId="6" fillId="0" borderId="0"/>
    <xf numFmtId="164" fontId="5" fillId="0" borderId="0"/>
    <xf numFmtId="0" fontId="5" fillId="0" borderId="0"/>
    <xf numFmtId="164" fontId="5" fillId="0" borderId="0"/>
    <xf numFmtId="0" fontId="5" fillId="0" borderId="0"/>
    <xf numFmtId="0" fontId="5" fillId="0" borderId="0"/>
    <xf numFmtId="0" fontId="5" fillId="0" borderId="0"/>
    <xf numFmtId="0" fontId="5" fillId="0" borderId="0"/>
    <xf numFmtId="164" fontId="6" fillId="0" borderId="0"/>
    <xf numFmtId="0" fontId="6"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64"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164" fontId="3" fillId="2" borderId="0" applyNumberFormat="0" applyBorder="0" applyAlignment="0" applyProtection="0"/>
    <xf numFmtId="164" fontId="1" fillId="2" borderId="0" applyNumberFormat="0" applyBorder="0" applyAlignment="0" applyProtection="0"/>
    <xf numFmtId="164" fontId="1" fillId="2" borderId="0" applyNumberFormat="0" applyBorder="0" applyAlignment="0" applyProtection="0"/>
    <xf numFmtId="164"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64" fontId="3" fillId="3" borderId="0" applyNumberFormat="0" applyBorder="0" applyAlignment="0" applyProtection="0"/>
    <xf numFmtId="164" fontId="1" fillId="3" borderId="0" applyNumberFormat="0" applyBorder="0" applyAlignment="0" applyProtection="0"/>
    <xf numFmtId="164" fontId="1" fillId="3" borderId="0" applyNumberFormat="0" applyBorder="0" applyAlignment="0" applyProtection="0"/>
    <xf numFmtId="164"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4" fontId="3" fillId="4" borderId="0" applyNumberFormat="0" applyBorder="0" applyAlignment="0" applyProtection="0"/>
    <xf numFmtId="164" fontId="1" fillId="4" borderId="0" applyNumberFormat="0" applyBorder="0" applyAlignment="0" applyProtection="0"/>
    <xf numFmtId="164" fontId="1" fillId="4" borderId="0" applyNumberFormat="0" applyBorder="0" applyAlignment="0" applyProtection="0"/>
    <xf numFmtId="164"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64" fontId="3" fillId="5" borderId="0" applyNumberFormat="0" applyBorder="0" applyAlignment="0" applyProtection="0"/>
    <xf numFmtId="164" fontId="1" fillId="5" borderId="0" applyNumberFormat="0" applyBorder="0" applyAlignment="0" applyProtection="0"/>
    <xf numFmtId="164" fontId="1" fillId="5" borderId="0" applyNumberFormat="0" applyBorder="0" applyAlignment="0" applyProtection="0"/>
    <xf numFmtId="164"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164" fontId="3" fillId="6" borderId="0" applyNumberFormat="0" applyBorder="0" applyAlignment="0" applyProtection="0"/>
    <xf numFmtId="164" fontId="1" fillId="6" borderId="0" applyNumberFormat="0" applyBorder="0" applyAlignment="0" applyProtection="0"/>
    <xf numFmtId="164" fontId="1" fillId="6" borderId="0" applyNumberFormat="0" applyBorder="0" applyAlignment="0" applyProtection="0"/>
    <xf numFmtId="164"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64" fontId="3" fillId="7" borderId="0" applyNumberFormat="0" applyBorder="0" applyAlignment="0" applyProtection="0"/>
    <xf numFmtId="164" fontId="1" fillId="7" borderId="0" applyNumberFormat="0" applyBorder="0" applyAlignment="0" applyProtection="0"/>
    <xf numFmtId="164" fontId="1" fillId="7" borderId="0" applyNumberFormat="0" applyBorder="0" applyAlignment="0" applyProtection="0"/>
    <xf numFmtId="164" fontId="3" fillId="2" borderId="0" applyNumberFormat="0" applyBorder="0" applyAlignment="0" applyProtection="0"/>
    <xf numFmtId="164" fontId="1"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164" fontId="1" fillId="2" borderId="0" applyNumberFormat="0" applyBorder="0" applyAlignment="0" applyProtection="0"/>
    <xf numFmtId="164" fontId="3" fillId="3" borderId="0" applyNumberFormat="0" applyBorder="0" applyAlignment="0" applyProtection="0"/>
    <xf numFmtId="164"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164" fontId="1" fillId="3" borderId="0" applyNumberFormat="0" applyBorder="0" applyAlignment="0" applyProtection="0"/>
    <xf numFmtId="164" fontId="3" fillId="4" borderId="0" applyNumberFormat="0" applyBorder="0" applyAlignment="0" applyProtection="0"/>
    <xf numFmtId="164" fontId="1"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164" fontId="1" fillId="4" borderId="0" applyNumberFormat="0" applyBorder="0" applyAlignment="0" applyProtection="0"/>
    <xf numFmtId="164" fontId="3" fillId="5" borderId="0" applyNumberFormat="0" applyBorder="0" applyAlignment="0" applyProtection="0"/>
    <xf numFmtId="164" fontId="1"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164" fontId="1" fillId="5" borderId="0" applyNumberFormat="0" applyBorder="0" applyAlignment="0" applyProtection="0"/>
    <xf numFmtId="164" fontId="3" fillId="6" borderId="0" applyNumberFormat="0" applyBorder="0" applyAlignment="0" applyProtection="0"/>
    <xf numFmtId="164" fontId="1"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164" fontId="1" fillId="6" borderId="0" applyNumberFormat="0" applyBorder="0" applyAlignment="0" applyProtection="0"/>
    <xf numFmtId="164" fontId="3" fillId="7" borderId="0" applyNumberFormat="0" applyBorder="0" applyAlignment="0" applyProtection="0"/>
    <xf numFmtId="164" fontId="1"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164" fontId="1"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4"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64" fontId="3" fillId="8" borderId="0" applyNumberFormat="0" applyBorder="0" applyAlignment="0" applyProtection="0"/>
    <xf numFmtId="164" fontId="1" fillId="8" borderId="0" applyNumberFormat="0" applyBorder="0" applyAlignment="0" applyProtection="0"/>
    <xf numFmtId="164" fontId="1" fillId="8" borderId="0" applyNumberFormat="0" applyBorder="0" applyAlignment="0" applyProtection="0"/>
    <xf numFmtId="164"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64" fontId="3" fillId="9" borderId="0" applyNumberFormat="0" applyBorder="0" applyAlignment="0" applyProtection="0"/>
    <xf numFmtId="164" fontId="1" fillId="9" borderId="0" applyNumberFormat="0" applyBorder="0" applyAlignment="0" applyProtection="0"/>
    <xf numFmtId="164" fontId="1" fillId="9" borderId="0" applyNumberFormat="0" applyBorder="0" applyAlignment="0" applyProtection="0"/>
    <xf numFmtId="164"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64" fontId="3" fillId="10" borderId="0" applyNumberFormat="0" applyBorder="0" applyAlignment="0" applyProtection="0"/>
    <xf numFmtId="164" fontId="1" fillId="10" borderId="0" applyNumberFormat="0" applyBorder="0" applyAlignment="0" applyProtection="0"/>
    <xf numFmtId="164" fontId="1" fillId="10" borderId="0" applyNumberFormat="0" applyBorder="0" applyAlignment="0" applyProtection="0"/>
    <xf numFmtId="164"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64" fontId="3" fillId="5" borderId="0" applyNumberFormat="0" applyBorder="0" applyAlignment="0" applyProtection="0"/>
    <xf numFmtId="164" fontId="1" fillId="5" borderId="0" applyNumberFormat="0" applyBorder="0" applyAlignment="0" applyProtection="0"/>
    <xf numFmtId="164" fontId="1" fillId="5" borderId="0" applyNumberFormat="0" applyBorder="0" applyAlignment="0" applyProtection="0"/>
    <xf numFmtId="164"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64" fontId="3" fillId="8" borderId="0" applyNumberFormat="0" applyBorder="0" applyAlignment="0" applyProtection="0"/>
    <xf numFmtId="164" fontId="1" fillId="8" borderId="0" applyNumberFormat="0" applyBorder="0" applyAlignment="0" applyProtection="0"/>
    <xf numFmtId="164" fontId="1" fillId="8" borderId="0" applyNumberFormat="0" applyBorder="0" applyAlignment="0" applyProtection="0"/>
    <xf numFmtId="164"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164" fontId="3" fillId="11" borderId="0" applyNumberFormat="0" applyBorder="0" applyAlignment="0" applyProtection="0"/>
    <xf numFmtId="164" fontId="1" fillId="11" borderId="0" applyNumberFormat="0" applyBorder="0" applyAlignment="0" applyProtection="0"/>
    <xf numFmtId="164" fontId="1" fillId="11" borderId="0" applyNumberFormat="0" applyBorder="0" applyAlignment="0" applyProtection="0"/>
    <xf numFmtId="164" fontId="3" fillId="8" borderId="0" applyNumberFormat="0" applyBorder="0" applyAlignment="0" applyProtection="0"/>
    <xf numFmtId="164" fontId="1"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164" fontId="1" fillId="8" borderId="0" applyNumberFormat="0" applyBorder="0" applyAlignment="0" applyProtection="0"/>
    <xf numFmtId="164" fontId="3" fillId="9" borderId="0" applyNumberFormat="0" applyBorder="0" applyAlignment="0" applyProtection="0"/>
    <xf numFmtId="164" fontId="1"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164" fontId="1" fillId="9" borderId="0" applyNumberFormat="0" applyBorder="0" applyAlignment="0" applyProtection="0"/>
    <xf numFmtId="164" fontId="3" fillId="10" borderId="0" applyNumberFormat="0" applyBorder="0" applyAlignment="0" applyProtection="0"/>
    <xf numFmtId="164" fontId="1"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164" fontId="1" fillId="10" borderId="0" applyNumberFormat="0" applyBorder="0" applyAlignment="0" applyProtection="0"/>
    <xf numFmtId="164" fontId="3" fillId="5" borderId="0" applyNumberFormat="0" applyBorder="0" applyAlignment="0" applyProtection="0"/>
    <xf numFmtId="164" fontId="1"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164" fontId="1" fillId="5" borderId="0" applyNumberFormat="0" applyBorder="0" applyAlignment="0" applyProtection="0"/>
    <xf numFmtId="164" fontId="3" fillId="8" borderId="0" applyNumberFormat="0" applyBorder="0" applyAlignment="0" applyProtection="0"/>
    <xf numFmtId="164" fontId="1"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164" fontId="1" fillId="8" borderId="0" applyNumberFormat="0" applyBorder="0" applyAlignment="0" applyProtection="0"/>
    <xf numFmtId="164" fontId="3" fillId="11" borderId="0" applyNumberFormat="0" applyBorder="0" applyAlignment="0" applyProtection="0"/>
    <xf numFmtId="164" fontId="1"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164" fontId="1"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164" fontId="7" fillId="12" borderId="0" applyNumberFormat="0" applyBorder="0" applyAlignment="0" applyProtection="0"/>
    <xf numFmtId="0" fontId="7" fillId="12" borderId="0" applyNumberFormat="0" applyBorder="0" applyAlignment="0" applyProtection="0"/>
    <xf numFmtId="164" fontId="7" fillId="9" borderId="0" applyNumberFormat="0" applyBorder="0" applyAlignment="0" applyProtection="0"/>
    <xf numFmtId="0" fontId="7" fillId="9" borderId="0" applyNumberFormat="0" applyBorder="0" applyAlignment="0" applyProtection="0"/>
    <xf numFmtId="164" fontId="7" fillId="10" borderId="0" applyNumberFormat="0" applyBorder="0" applyAlignment="0" applyProtection="0"/>
    <xf numFmtId="0" fontId="7" fillId="10" borderId="0" applyNumberFormat="0" applyBorder="0" applyAlignment="0" applyProtection="0"/>
    <xf numFmtId="164" fontId="7" fillId="13" borderId="0" applyNumberFormat="0" applyBorder="0" applyAlignment="0" applyProtection="0"/>
    <xf numFmtId="0" fontId="7" fillId="13" borderId="0" applyNumberFormat="0" applyBorder="0" applyAlignment="0" applyProtection="0"/>
    <xf numFmtId="164" fontId="7" fillId="14" borderId="0" applyNumberFormat="0" applyBorder="0" applyAlignment="0" applyProtection="0"/>
    <xf numFmtId="0" fontId="7" fillId="14" borderId="0" applyNumberFormat="0" applyBorder="0" applyAlignment="0" applyProtection="0"/>
    <xf numFmtId="164" fontId="7" fillId="15" borderId="0" applyNumberFormat="0" applyBorder="0" applyAlignment="0" applyProtection="0"/>
    <xf numFmtId="0" fontId="7" fillId="15" borderId="0" applyNumberFormat="0" applyBorder="0" applyAlignment="0" applyProtection="0"/>
    <xf numFmtId="164" fontId="7" fillId="12" borderId="0" applyNumberFormat="0" applyBorder="0" applyAlignment="0" applyProtection="0"/>
    <xf numFmtId="0" fontId="7" fillId="12" borderId="0" applyNumberFormat="0" applyBorder="0" applyAlignment="0" applyProtection="0"/>
    <xf numFmtId="164" fontId="7" fillId="9" borderId="0" applyNumberFormat="0" applyBorder="0" applyAlignment="0" applyProtection="0"/>
    <xf numFmtId="0" fontId="7" fillId="9" borderId="0" applyNumberFormat="0" applyBorder="0" applyAlignment="0" applyProtection="0"/>
    <xf numFmtId="164" fontId="7" fillId="10" borderId="0" applyNumberFormat="0" applyBorder="0" applyAlignment="0" applyProtection="0"/>
    <xf numFmtId="0" fontId="7" fillId="10" borderId="0" applyNumberFormat="0" applyBorder="0" applyAlignment="0" applyProtection="0"/>
    <xf numFmtId="164" fontId="7" fillId="13" borderId="0" applyNumberFormat="0" applyBorder="0" applyAlignment="0" applyProtection="0"/>
    <xf numFmtId="0" fontId="7" fillId="13" borderId="0" applyNumberFormat="0" applyBorder="0" applyAlignment="0" applyProtection="0"/>
    <xf numFmtId="164" fontId="7" fillId="14" borderId="0" applyNumberFormat="0" applyBorder="0" applyAlignment="0" applyProtection="0"/>
    <xf numFmtId="0" fontId="7" fillId="14" borderId="0" applyNumberFormat="0" applyBorder="0" applyAlignment="0" applyProtection="0"/>
    <xf numFmtId="164"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164" fontId="10" fillId="20" borderId="1" applyNumberFormat="0" applyAlignment="0" applyProtection="0"/>
    <xf numFmtId="164" fontId="10" fillId="20" borderId="1" applyNumberFormat="0" applyAlignment="0" applyProtection="0"/>
    <xf numFmtId="164"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164" fontId="10" fillId="20" borderId="1" applyNumberFormat="0" applyAlignment="0" applyProtection="0"/>
    <xf numFmtId="164" fontId="10" fillId="20" borderId="1" applyNumberFormat="0" applyAlignment="0" applyProtection="0"/>
    <xf numFmtId="164" fontId="10" fillId="20" borderId="1" applyNumberFormat="0" applyAlignment="0" applyProtection="0"/>
    <xf numFmtId="164"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2" fillId="0" borderId="3" applyNumberFormat="0" applyFill="0" applyAlignment="0" applyProtection="0"/>
    <xf numFmtId="164" fontId="12" fillId="0" borderId="3" applyNumberFormat="0" applyFill="0" applyAlignment="0" applyProtection="0"/>
    <xf numFmtId="0" fontId="12" fillId="0" borderId="3" applyNumberFormat="0" applyFill="0" applyAlignment="0" applyProtection="0"/>
    <xf numFmtId="164" fontId="11" fillId="21" borderId="2" applyNumberFormat="0" applyAlignment="0" applyProtection="0"/>
    <xf numFmtId="0" fontId="11" fillId="21" borderId="2" applyNumberFormat="0" applyAlignment="0" applyProtection="0"/>
    <xf numFmtId="164" fontId="7" fillId="16" borderId="0" applyNumberFormat="0" applyBorder="0" applyAlignment="0" applyProtection="0"/>
    <xf numFmtId="0" fontId="7" fillId="16" borderId="0" applyNumberFormat="0" applyBorder="0" applyAlignment="0" applyProtection="0"/>
    <xf numFmtId="164" fontId="7" fillId="17" borderId="0" applyNumberFormat="0" applyBorder="0" applyAlignment="0" applyProtection="0"/>
    <xf numFmtId="0" fontId="7" fillId="17" borderId="0" applyNumberFormat="0" applyBorder="0" applyAlignment="0" applyProtection="0"/>
    <xf numFmtId="164" fontId="7" fillId="18" borderId="0" applyNumberFormat="0" applyBorder="0" applyAlignment="0" applyProtection="0"/>
    <xf numFmtId="0" fontId="7" fillId="18" borderId="0" applyNumberFormat="0" applyBorder="0" applyAlignment="0" applyProtection="0"/>
    <xf numFmtId="164" fontId="7" fillId="13" borderId="0" applyNumberFormat="0" applyBorder="0" applyAlignment="0" applyProtection="0"/>
    <xf numFmtId="0" fontId="7" fillId="13" borderId="0" applyNumberFormat="0" applyBorder="0" applyAlignment="0" applyProtection="0"/>
    <xf numFmtId="164" fontId="7" fillId="14" borderId="0" applyNumberFormat="0" applyBorder="0" applyAlignment="0" applyProtection="0"/>
    <xf numFmtId="0" fontId="7" fillId="14" borderId="0" applyNumberFormat="0" applyBorder="0" applyAlignment="0" applyProtection="0"/>
    <xf numFmtId="164" fontId="7" fillId="19" borderId="0" applyNumberFormat="0" applyBorder="0" applyAlignment="0" applyProtection="0"/>
    <xf numFmtId="0" fontId="7" fillId="19" borderId="0" applyNumberFormat="0" applyBorder="0" applyAlignment="0" applyProtection="0"/>
    <xf numFmtId="3" fontId="13" fillId="0" borderId="0" applyFont="0" applyFill="0" applyBorder="0" applyAlignment="0" applyProtection="0"/>
    <xf numFmtId="165" fontId="13" fillId="0" borderId="0" applyFont="0" applyFill="0" applyBorder="0" applyAlignment="0" applyProtection="0"/>
    <xf numFmtId="43" fontId="2" fillId="0" borderId="0" applyFont="0" applyFill="0" applyBorder="0" applyAlignment="0" applyProtection="0"/>
    <xf numFmtId="166" fontId="14" fillId="0" borderId="0" applyFont="0" applyFill="0" applyBorder="0" applyAlignment="0" applyProtection="0">
      <alignment horizontal="right"/>
    </xf>
    <xf numFmtId="196" fontId="5" fillId="0" borderId="0" applyFont="0" applyFill="0" applyBorder="0" applyAlignment="0" applyProtection="0"/>
    <xf numFmtId="19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95" fontId="14" fillId="0" borderId="0" applyFont="0" applyFill="0" applyBorder="0" applyAlignment="0" applyProtection="0">
      <alignment horizontal="right"/>
    </xf>
    <xf numFmtId="43" fontId="1" fillId="0" borderId="0" applyFont="0" applyFill="0" applyBorder="0" applyAlignment="0" applyProtection="0"/>
    <xf numFmtId="43" fontId="3" fillId="0" borderId="0" applyFont="0" applyFill="0" applyBorder="0" applyAlignment="0" applyProtection="0"/>
    <xf numFmtId="167" fontId="5" fillId="0" borderId="0" applyFont="0" applyFill="0" applyBorder="0" applyAlignment="0" applyProtection="0"/>
    <xf numFmtId="196" fontId="5" fillId="0" borderId="0" applyFont="0" applyFill="0" applyBorder="0" applyAlignment="0" applyProtection="0"/>
    <xf numFmtId="168" fontId="15" fillId="0" borderId="0" applyFont="0" applyFill="0" applyBorder="0" applyAlignment="0" applyProtection="0"/>
    <xf numFmtId="196" fontId="5" fillId="0" borderId="0" applyFont="0" applyFill="0" applyBorder="0" applyAlignment="0" applyProtection="0"/>
    <xf numFmtId="43" fontId="2" fillId="0" borderId="0" applyFont="0" applyFill="0" applyBorder="0" applyAlignment="0" applyProtection="0"/>
    <xf numFmtId="43" fontId="7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96"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97" fontId="5" fillId="0" borderId="0" applyFont="0" applyFill="0" applyBorder="0" applyAlignment="0" applyProtection="0"/>
    <xf numFmtId="43" fontId="5" fillId="0" borderId="0" applyFont="0" applyFill="0" applyBorder="0" applyAlignment="0" applyProtection="0"/>
    <xf numFmtId="19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68" fontId="1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96" fontId="5" fillId="0" borderId="0" applyFont="0" applyFill="0" applyBorder="0" applyAlignment="0" applyProtection="0"/>
    <xf numFmtId="43" fontId="79" fillId="0" borderId="0" applyFont="0" applyFill="0" applyBorder="0" applyAlignment="0" applyProtection="0"/>
    <xf numFmtId="43" fontId="1"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169" fontId="16" fillId="0" borderId="0" applyFont="0" applyFill="0" applyBorder="0" applyAlignment="0"/>
    <xf numFmtId="169" fontId="16"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0" fontId="5" fillId="0" borderId="0" applyFont="0" applyFill="0" applyBorder="0" applyAlignment="0"/>
    <xf numFmtId="171" fontId="14" fillId="0" borderId="0" applyFont="0" applyFill="0" applyBorder="0" applyAlignment="0" applyProtection="0">
      <alignment horizontal="right"/>
    </xf>
    <xf numFmtId="44" fontId="3" fillId="0" borderId="0" applyFont="0" applyFill="0" applyBorder="0" applyAlignment="0" applyProtection="0"/>
    <xf numFmtId="194" fontId="14" fillId="0" borderId="0" applyFont="0" applyFill="0" applyBorder="0" applyAlignment="0" applyProtection="0">
      <alignment horizontal="right"/>
    </xf>
    <xf numFmtId="44" fontId="2" fillId="0" borderId="0" applyFont="0" applyFill="0" applyBorder="0" applyAlignment="0" applyProtection="0"/>
    <xf numFmtId="44" fontId="79"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21" borderId="2" applyNumberFormat="0" applyAlignment="0" applyProtection="0"/>
    <xf numFmtId="164" fontId="17" fillId="0" borderId="0" applyNumberFormat="0" applyFill="0" applyAlignment="0">
      <alignment wrapText="1"/>
    </xf>
    <xf numFmtId="0" fontId="17" fillId="0" borderId="0" applyNumberFormat="0" applyFill="0" applyAlignment="0">
      <alignment wrapText="1"/>
    </xf>
    <xf numFmtId="6" fontId="18" fillId="0" borderId="0">
      <protection locked="0"/>
    </xf>
    <xf numFmtId="15" fontId="19" fillId="0" borderId="0" applyFill="0" applyBorder="0" applyAlignment="0"/>
    <xf numFmtId="172" fontId="19" fillId="22" borderId="0" applyFont="0" applyFill="0" applyBorder="0" applyAlignment="0" applyProtection="0"/>
    <xf numFmtId="173" fontId="20" fillId="22" borderId="4"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2" fontId="16" fillId="22" borderId="0" applyFont="0" applyFill="0" applyBorder="0" applyAlignment="0" applyProtection="0"/>
    <xf numFmtId="17" fontId="19" fillId="0" borderId="0" applyFill="0" applyBorder="0">
      <alignment horizontal="right"/>
    </xf>
    <xf numFmtId="174" fontId="14" fillId="0" borderId="0" applyFont="0" applyFill="0" applyBorder="0" applyAlignment="0" applyProtection="0"/>
    <xf numFmtId="6" fontId="18" fillId="0" borderId="0">
      <protection locked="0"/>
    </xf>
    <xf numFmtId="43" fontId="5" fillId="0" borderId="0" applyFont="0" applyFill="0" applyBorder="0" applyAlignment="0" applyProtection="0"/>
    <xf numFmtId="7" fontId="16" fillId="0" borderId="0"/>
    <xf numFmtId="7" fontId="16" fillId="0" borderId="0"/>
    <xf numFmtId="175" fontId="14" fillId="0" borderId="5" applyNumberFormat="0" applyFont="0" applyFill="0" applyAlignment="0" applyProtection="0"/>
    <xf numFmtId="0" fontId="21" fillId="0" borderId="0" applyNumberFormat="0" applyFill="0" applyBorder="0" applyAlignment="0" applyProtection="0"/>
    <xf numFmtId="164" fontId="7" fillId="16" borderId="0" applyNumberFormat="0" applyBorder="0" applyAlignment="0" applyProtection="0"/>
    <xf numFmtId="0" fontId="7" fillId="16" borderId="0" applyNumberFormat="0" applyBorder="0" applyAlignment="0" applyProtection="0"/>
    <xf numFmtId="164" fontId="7" fillId="17" borderId="0" applyNumberFormat="0" applyBorder="0" applyAlignment="0" applyProtection="0"/>
    <xf numFmtId="0" fontId="7" fillId="17" borderId="0" applyNumberFormat="0" applyBorder="0" applyAlignment="0" applyProtection="0"/>
    <xf numFmtId="164" fontId="7" fillId="18" borderId="0" applyNumberFormat="0" applyBorder="0" applyAlignment="0" applyProtection="0"/>
    <xf numFmtId="0" fontId="7" fillId="18" borderId="0" applyNumberFormat="0" applyBorder="0" applyAlignment="0" applyProtection="0"/>
    <xf numFmtId="164" fontId="7" fillId="13" borderId="0" applyNumberFormat="0" applyBorder="0" applyAlignment="0" applyProtection="0"/>
    <xf numFmtId="0" fontId="7" fillId="13" borderId="0" applyNumberFormat="0" applyBorder="0" applyAlignment="0" applyProtection="0"/>
    <xf numFmtId="164" fontId="7" fillId="14" borderId="0" applyNumberFormat="0" applyBorder="0" applyAlignment="0" applyProtection="0"/>
    <xf numFmtId="0" fontId="7" fillId="14" borderId="0" applyNumberFormat="0" applyBorder="0" applyAlignment="0" applyProtection="0"/>
    <xf numFmtId="164" fontId="7" fillId="19" borderId="0" applyNumberFormat="0" applyBorder="0" applyAlignment="0" applyProtection="0"/>
    <xf numFmtId="0" fontId="7" fillId="19" borderId="0" applyNumberFormat="0" applyBorder="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5" fillId="0" borderId="0"/>
    <xf numFmtId="0" fontId="5" fillId="0" borderId="0"/>
    <xf numFmtId="0" fontId="5" fillId="0" borderId="0"/>
    <xf numFmtId="0" fontId="5" fillId="0" borderId="0"/>
    <xf numFmtId="164" fontId="5"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6"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3" fillId="0" borderId="0" applyNumberForma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4" fontId="24" fillId="0" borderId="0" applyFont="0" applyFill="0" applyBorder="0" applyAlignment="0" applyProtection="0"/>
    <xf numFmtId="164" fontId="5" fillId="0" borderId="0">
      <protection locked="0"/>
    </xf>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78" fontId="5" fillId="22" borderId="0" applyFont="0" applyFill="0" applyBorder="0" applyAlignment="0"/>
    <xf numFmtId="164" fontId="5" fillId="0" borderId="0">
      <protection locked="0"/>
    </xf>
    <xf numFmtId="164" fontId="5" fillId="0" borderId="0">
      <protection locked="0"/>
    </xf>
    <xf numFmtId="164" fontId="5" fillId="0" borderId="0">
      <protection locked="0"/>
    </xf>
    <xf numFmtId="164" fontId="5" fillId="0" borderId="0">
      <protection locked="0"/>
    </xf>
    <xf numFmtId="164" fontId="5" fillId="0" borderId="0">
      <protection locked="0"/>
    </xf>
    <xf numFmtId="0" fontId="5" fillId="0" borderId="0">
      <protection locked="0"/>
    </xf>
    <xf numFmtId="0" fontId="5" fillId="0" borderId="0">
      <protection locked="0"/>
    </xf>
    <xf numFmtId="0" fontId="5" fillId="0" borderId="0">
      <protection locked="0"/>
    </xf>
    <xf numFmtId="164" fontId="5" fillId="0" borderId="0">
      <protection locked="0"/>
    </xf>
    <xf numFmtId="0" fontId="34" fillId="0" borderId="0" applyNumberFormat="0" applyFill="0" applyBorder="0" applyAlignment="0" applyProtection="0">
      <alignment vertical="top"/>
      <protection locked="0"/>
    </xf>
    <xf numFmtId="164" fontId="25" fillId="0" borderId="0" applyFill="0" applyBorder="0" applyAlignment="0" applyProtection="0"/>
    <xf numFmtId="164" fontId="25" fillId="0" borderId="0" applyFill="0" applyBorder="0" applyAlignment="0" applyProtection="0"/>
    <xf numFmtId="0" fontId="25" fillId="0" borderId="0" applyFill="0" applyBorder="0" applyAlignment="0" applyProtection="0"/>
    <xf numFmtId="164" fontId="26" fillId="0" borderId="0" applyNumberFormat="0" applyFill="0" applyBorder="0" applyAlignment="0" applyProtection="0"/>
    <xf numFmtId="164" fontId="26" fillId="0" borderId="0" applyNumberFormat="0" applyFill="0" applyBorder="0" applyAlignment="0" applyProtection="0"/>
    <xf numFmtId="0" fontId="26" fillId="0" borderId="0" applyNumberFormat="0" applyFill="0" applyBorder="0" applyAlignment="0" applyProtection="0"/>
    <xf numFmtId="164" fontId="27" fillId="0" borderId="0" applyFill="0" applyBorder="0" applyProtection="0">
      <alignment horizontal="left"/>
    </xf>
    <xf numFmtId="164" fontId="27" fillId="0" borderId="0" applyFill="0" applyBorder="0" applyProtection="0">
      <alignment horizontal="left"/>
    </xf>
    <xf numFmtId="0" fontId="27" fillId="0" borderId="0" applyFill="0" applyBorder="0" applyProtection="0">
      <alignment horizontal="left"/>
    </xf>
    <xf numFmtId="0" fontId="9" fillId="4" borderId="0" applyNumberFormat="0" applyBorder="0" applyAlignment="0" applyProtection="0"/>
    <xf numFmtId="38" fontId="16" fillId="23" borderId="0" applyNumberFormat="0" applyFont="0" applyBorder="0" applyAlignment="0">
      <protection hidden="1"/>
    </xf>
    <xf numFmtId="38" fontId="16" fillId="23" borderId="0" applyNumberFormat="0" applyFont="0" applyBorder="0" applyAlignment="0">
      <protection hidden="1"/>
    </xf>
    <xf numFmtId="179" fontId="14" fillId="0" borderId="0" applyFont="0" applyFill="0" applyBorder="0" applyAlignment="0" applyProtection="0">
      <alignment horizontal="right"/>
    </xf>
    <xf numFmtId="164" fontId="28" fillId="0" borderId="0" applyProtection="0">
      <alignment horizontal="right"/>
    </xf>
    <xf numFmtId="164" fontId="28" fillId="0" borderId="0" applyProtection="0">
      <alignment horizontal="right"/>
    </xf>
    <xf numFmtId="0" fontId="28" fillId="0" borderId="0" applyProtection="0">
      <alignment horizontal="right"/>
    </xf>
    <xf numFmtId="0" fontId="29" fillId="0" borderId="6" applyNumberFormat="0" applyFill="0" applyAlignment="0" applyProtection="0"/>
    <xf numFmtId="0" fontId="30" fillId="0" borderId="0" applyProtection="0">
      <alignment horizontal="left"/>
    </xf>
    <xf numFmtId="0" fontId="30" fillId="0" borderId="0" applyProtection="0">
      <alignment horizontal="left"/>
    </xf>
    <xf numFmtId="0" fontId="30" fillId="0" borderId="0" applyProtection="0">
      <alignment horizontal="left"/>
    </xf>
    <xf numFmtId="0" fontId="56" fillId="0" borderId="7" applyNumberFormat="0" applyFill="0" applyAlignment="0" applyProtection="0"/>
    <xf numFmtId="0" fontId="30" fillId="0" borderId="0" applyProtection="0">
      <alignment horizontal="left"/>
    </xf>
    <xf numFmtId="0" fontId="31" fillId="0" borderId="0" applyProtection="0">
      <alignment horizontal="left"/>
    </xf>
    <xf numFmtId="0" fontId="31" fillId="0" borderId="0" applyProtection="0">
      <alignment horizontal="left"/>
    </xf>
    <xf numFmtId="0" fontId="31" fillId="0" borderId="0" applyProtection="0">
      <alignment horizontal="left"/>
    </xf>
    <xf numFmtId="0" fontId="21" fillId="0" borderId="8" applyNumberFormat="0" applyFill="0" applyAlignment="0" applyProtection="0"/>
    <xf numFmtId="0" fontId="31" fillId="0" borderId="0" applyProtection="0">
      <alignment horizontal="left"/>
    </xf>
    <xf numFmtId="0" fontId="21" fillId="0" borderId="0" applyNumberFormat="0" applyFill="0" applyBorder="0" applyAlignment="0" applyProtection="0"/>
    <xf numFmtId="164" fontId="5" fillId="0" borderId="0">
      <protection locked="0"/>
    </xf>
    <xf numFmtId="164" fontId="5" fillId="0" borderId="0">
      <protection locked="0"/>
    </xf>
    <xf numFmtId="0" fontId="5" fillId="0" borderId="0">
      <protection locked="0"/>
    </xf>
    <xf numFmtId="164" fontId="5" fillId="0" borderId="0">
      <protection locked="0"/>
    </xf>
    <xf numFmtId="164" fontId="5" fillId="0" borderId="0">
      <protection locked="0"/>
    </xf>
    <xf numFmtId="0" fontId="5" fillId="0" borderId="0">
      <protection locked="0"/>
    </xf>
    <xf numFmtId="164" fontId="32" fillId="0" borderId="9" applyNumberFormat="0" applyFill="0" applyAlignment="0" applyProtection="0"/>
    <xf numFmtId="164" fontId="32" fillId="0" borderId="9" applyNumberFormat="0" applyFill="0" applyAlignment="0" applyProtection="0"/>
    <xf numFmtId="0" fontId="32" fillId="0" borderId="9" applyNumberFormat="0" applyFill="0" applyAlignment="0" applyProtection="0"/>
    <xf numFmtId="0" fontId="33" fillId="0" borderId="0" applyNumberFormat="0" applyFill="0" applyBorder="0" applyAlignment="0" applyProtection="0">
      <alignment vertical="top"/>
      <protection locked="0"/>
    </xf>
    <xf numFmtId="0" fontId="81" fillId="0" borderId="0" applyNumberFormat="0" applyFill="0" applyBorder="0" applyAlignment="0" applyProtection="0"/>
    <xf numFmtId="0" fontId="63" fillId="0" borderId="0" applyNumberFormat="0" applyFill="0" applyBorder="0" applyAlignment="0" applyProtection="0">
      <alignment vertical="top"/>
      <protection locked="0"/>
    </xf>
    <xf numFmtId="164"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8" fillId="3" borderId="0" applyNumberFormat="0" applyBorder="0" applyAlignment="0" applyProtection="0"/>
    <xf numFmtId="0" fontId="8" fillId="3" borderId="0" applyNumberFormat="0" applyBorder="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180" fontId="5" fillId="0" borderId="0" applyFont="0" applyFill="0" applyBorder="0" applyAlignment="0" applyProtection="0"/>
    <xf numFmtId="168" fontId="15" fillId="0" borderId="0" applyFont="0" applyFill="0" applyBorder="0" applyAlignment="0" applyProtection="0"/>
    <xf numFmtId="0" fontId="5" fillId="0" borderId="0"/>
    <xf numFmtId="0" fontId="5" fillId="0" borderId="0"/>
    <xf numFmtId="0" fontId="12" fillId="0" borderId="3" applyNumberFormat="0" applyFill="0" applyAlignment="0" applyProtection="0"/>
    <xf numFmtId="38" fontId="35" fillId="0" borderId="0" applyFont="0" applyFill="0" applyBorder="0" applyAlignment="0" applyProtection="0"/>
    <xf numFmtId="40" fontId="35" fillId="0" borderId="0" applyFont="0" applyFill="0" applyBorder="0" applyAlignment="0" applyProtection="0"/>
    <xf numFmtId="38" fontId="24" fillId="0" borderId="10">
      <alignment vertical="center"/>
    </xf>
    <xf numFmtId="38" fontId="24" fillId="0" borderId="10">
      <alignment vertical="center"/>
    </xf>
    <xf numFmtId="38" fontId="24" fillId="0" borderId="10">
      <alignment vertical="center"/>
    </xf>
    <xf numFmtId="40" fontId="24" fillId="0" borderId="10">
      <alignment vertical="center"/>
    </xf>
    <xf numFmtId="40" fontId="24" fillId="0" borderId="10">
      <alignment vertical="center"/>
    </xf>
    <xf numFmtId="40" fontId="24" fillId="0" borderId="10">
      <alignment vertical="center"/>
    </xf>
    <xf numFmtId="38" fontId="24" fillId="0" borderId="10">
      <alignment vertical="center"/>
    </xf>
    <xf numFmtId="38" fontId="24" fillId="0" borderId="10">
      <alignment vertical="center"/>
    </xf>
    <xf numFmtId="38" fontId="24" fillId="0" borderId="10">
      <alignment vertical="center"/>
    </xf>
    <xf numFmtId="40" fontId="24" fillId="0" borderId="11" applyBorder="0">
      <alignment vertical="center"/>
    </xf>
    <xf numFmtId="40" fontId="24" fillId="0" borderId="11" applyBorder="0">
      <alignment vertical="center"/>
    </xf>
    <xf numFmtId="40" fontId="24" fillId="0" borderId="11" applyBorder="0">
      <alignment vertical="center"/>
    </xf>
    <xf numFmtId="40" fontId="24" fillId="0" borderId="10">
      <alignment vertical="center"/>
    </xf>
    <xf numFmtId="40" fontId="24" fillId="0" borderId="10">
      <alignment vertical="center"/>
    </xf>
    <xf numFmtId="40" fontId="24" fillId="0" borderId="10">
      <alignment vertical="center"/>
    </xf>
    <xf numFmtId="40" fontId="24" fillId="0" borderId="10">
      <alignment vertical="center"/>
    </xf>
    <xf numFmtId="40" fontId="24" fillId="0" borderId="10">
      <alignment vertical="center"/>
    </xf>
    <xf numFmtId="40" fontId="24" fillId="0" borderId="10">
      <alignment vertical="center"/>
    </xf>
    <xf numFmtId="43" fontId="5" fillId="0" borderId="0" applyFont="0" applyFill="0" applyBorder="0" applyAlignment="0" applyProtection="0"/>
    <xf numFmtId="40" fontId="24" fillId="0" borderId="11" applyBorder="0">
      <alignment vertical="center"/>
    </xf>
    <xf numFmtId="40" fontId="24" fillId="0" borderId="11" applyBorder="0">
      <alignment vertical="center"/>
    </xf>
    <xf numFmtId="40" fontId="24" fillId="0" borderId="11" applyBorder="0">
      <alignment vertical="center"/>
    </xf>
    <xf numFmtId="40" fontId="24" fillId="0" borderId="11" applyBorder="0">
      <alignment vertical="center"/>
    </xf>
    <xf numFmtId="40" fontId="24" fillId="0" borderId="11" applyBorder="0">
      <alignment vertical="center"/>
    </xf>
    <xf numFmtId="40" fontId="24" fillId="0" borderId="11" applyBorder="0">
      <alignment vertical="center"/>
    </xf>
    <xf numFmtId="40" fontId="24" fillId="0" borderId="11" applyBorder="0">
      <alignment vertical="center"/>
    </xf>
    <xf numFmtId="40" fontId="24" fillId="0" borderId="11" applyBorder="0">
      <alignment vertical="center"/>
    </xf>
    <xf numFmtId="40" fontId="24" fillId="0" borderId="11" applyBorder="0">
      <alignment vertical="center"/>
    </xf>
    <xf numFmtId="167" fontId="17" fillId="0" borderId="0" applyFont="0" applyFill="0" applyBorder="0" applyAlignment="0" applyProtection="0"/>
    <xf numFmtId="181" fontId="14" fillId="0" borderId="0" applyFont="0" applyFill="0" applyBorder="0" applyAlignment="0" applyProtection="0">
      <alignment horizontal="right"/>
    </xf>
    <xf numFmtId="182" fontId="16" fillId="23" borderId="0" applyFont="0" applyBorder="0" applyAlignment="0" applyProtection="0">
      <alignment horizontal="right"/>
      <protection hidden="1"/>
    </xf>
    <xf numFmtId="182" fontId="16" fillId="23" borderId="0" applyFont="0" applyBorder="0" applyAlignment="0" applyProtection="0">
      <alignment horizontal="right"/>
      <protection hidden="1"/>
    </xf>
    <xf numFmtId="0" fontId="36" fillId="24" borderId="0" applyNumberFormat="0" applyBorder="0" applyAlignment="0" applyProtection="0"/>
    <xf numFmtId="164" fontId="36" fillId="24" borderId="0" applyNumberFormat="0" applyBorder="0" applyAlignment="0" applyProtection="0"/>
    <xf numFmtId="0" fontId="36" fillId="24" borderId="0" applyNumberFormat="0" applyBorder="0" applyAlignment="0" applyProtection="0"/>
    <xf numFmtId="164" fontId="37" fillId="0" borderId="0"/>
    <xf numFmtId="164" fontId="5" fillId="0" borderId="0" applyNumberFormat="0" applyFill="0" applyBorder="0" applyAlignment="0" applyProtection="0"/>
    <xf numFmtId="0" fontId="5" fillId="0" borderId="0" applyNumberFormat="0" applyFill="0" applyBorder="0" applyAlignment="0" applyProtection="0"/>
    <xf numFmtId="164" fontId="5" fillId="0" borderId="0"/>
    <xf numFmtId="164" fontId="5" fillId="0" borderId="0"/>
    <xf numFmtId="0" fontId="5" fillId="0" borderId="0"/>
    <xf numFmtId="164" fontId="5" fillId="0" borderId="0"/>
    <xf numFmtId="0" fontId="5" fillId="0" borderId="0"/>
    <xf numFmtId="38" fontId="16" fillId="0" borderId="0" applyFont="0" applyFill="0" applyBorder="0" applyAlignment="0"/>
    <xf numFmtId="38" fontId="16"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183" fontId="5" fillId="0" borderId="0" applyFont="0" applyFill="0" applyBorder="0" applyAlignment="0"/>
    <xf numFmtId="40" fontId="16" fillId="0" borderId="0" applyFont="0" applyFill="0" applyBorder="0" applyAlignment="0"/>
    <xf numFmtId="40" fontId="16" fillId="0" borderId="0" applyFont="0" applyFill="0" applyBorder="0" applyAlignment="0"/>
    <xf numFmtId="184" fontId="16" fillId="0" borderId="0" applyFont="0" applyFill="0" applyBorder="0" applyAlignment="0"/>
    <xf numFmtId="184" fontId="16" fillId="0" borderId="0" applyFont="0" applyFill="0" applyBorder="0" applyAlignment="0"/>
    <xf numFmtId="0" fontId="79" fillId="0" borderId="0"/>
    <xf numFmtId="185" fontId="38" fillId="0" borderId="0"/>
    <xf numFmtId="0" fontId="5" fillId="0" borderId="0"/>
    <xf numFmtId="0" fontId="5" fillId="0" borderId="0"/>
    <xf numFmtId="0" fontId="82" fillId="0" borderId="0"/>
    <xf numFmtId="0" fontId="82" fillId="0" borderId="0"/>
    <xf numFmtId="0" fontId="8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5" fontId="38"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185" fontId="38" fillId="0" borderId="0"/>
    <xf numFmtId="0" fontId="82" fillId="0" borderId="0"/>
    <xf numFmtId="0" fontId="5" fillId="0" borderId="0"/>
    <xf numFmtId="0" fontId="5" fillId="0" borderId="0"/>
    <xf numFmtId="185" fontId="38" fillId="0" borderId="0"/>
    <xf numFmtId="0" fontId="5" fillId="0" borderId="0"/>
    <xf numFmtId="0" fontId="79" fillId="0" borderId="0"/>
    <xf numFmtId="185" fontId="38" fillId="0" borderId="0"/>
    <xf numFmtId="0" fontId="5" fillId="0" borderId="0"/>
    <xf numFmtId="0" fontId="5" fillId="0" borderId="0"/>
    <xf numFmtId="185" fontId="38" fillId="0" borderId="0"/>
    <xf numFmtId="0" fontId="5" fillId="0" borderId="0"/>
    <xf numFmtId="185" fontId="38" fillId="0" borderId="0"/>
    <xf numFmtId="0" fontId="83" fillId="0" borderId="0"/>
    <xf numFmtId="0" fontId="79" fillId="0" borderId="0"/>
    <xf numFmtId="185" fontId="38" fillId="0" borderId="0"/>
    <xf numFmtId="0" fontId="5" fillId="0" borderId="0"/>
    <xf numFmtId="0" fontId="16" fillId="0" borderId="0"/>
    <xf numFmtId="185" fontId="38" fillId="0" borderId="0"/>
    <xf numFmtId="0" fontId="5" fillId="0" borderId="0"/>
    <xf numFmtId="0" fontId="84" fillId="0" borderId="0"/>
    <xf numFmtId="0" fontId="5" fillId="0" borderId="0"/>
    <xf numFmtId="0" fontId="5" fillId="0" borderId="0"/>
    <xf numFmtId="0" fontId="79" fillId="0" borderId="0"/>
    <xf numFmtId="0" fontId="79" fillId="0" borderId="0"/>
    <xf numFmtId="0" fontId="5" fillId="0" borderId="0"/>
    <xf numFmtId="164" fontId="3" fillId="0" borderId="0"/>
    <xf numFmtId="0" fontId="5" fillId="0" borderId="0"/>
    <xf numFmtId="164" fontId="1" fillId="0" borderId="0"/>
    <xf numFmtId="0" fontId="4" fillId="0" borderId="0"/>
    <xf numFmtId="164" fontId="5" fillId="0" borderId="0"/>
    <xf numFmtId="0" fontId="5" fillId="0" borderId="0"/>
    <xf numFmtId="164" fontId="5" fillId="0" borderId="0"/>
    <xf numFmtId="0" fontId="5" fillId="0" borderId="0"/>
    <xf numFmtId="0" fontId="5" fillId="0" borderId="0"/>
    <xf numFmtId="0" fontId="5" fillId="0" borderId="0"/>
    <xf numFmtId="0" fontId="5" fillId="0" borderId="0"/>
    <xf numFmtId="185" fontId="38" fillId="0" borderId="0"/>
    <xf numFmtId="185" fontId="38" fillId="0" borderId="0"/>
    <xf numFmtId="0" fontId="5" fillId="0" borderId="0"/>
    <xf numFmtId="185" fontId="38" fillId="0" borderId="0"/>
    <xf numFmtId="0" fontId="5" fillId="0" borderId="0"/>
    <xf numFmtId="185" fontId="38" fillId="0" borderId="0"/>
    <xf numFmtId="0" fontId="5" fillId="0" borderId="0"/>
    <xf numFmtId="0" fontId="5" fillId="0" borderId="0"/>
    <xf numFmtId="0" fontId="79" fillId="0" borderId="0"/>
    <xf numFmtId="0" fontId="3" fillId="0" borderId="0"/>
    <xf numFmtId="0" fontId="65" fillId="0" borderId="0"/>
    <xf numFmtId="0" fontId="85" fillId="0" borderId="0"/>
    <xf numFmtId="0" fontId="1" fillId="0" borderId="0"/>
    <xf numFmtId="0" fontId="3" fillId="0" borderId="0"/>
    <xf numFmtId="0" fontId="1" fillId="0" borderId="0"/>
    <xf numFmtId="0" fontId="1" fillId="0" borderId="0"/>
    <xf numFmtId="0" fontId="5" fillId="0" borderId="0"/>
    <xf numFmtId="0" fontId="5" fillId="0" borderId="0"/>
    <xf numFmtId="0" fontId="79" fillId="0" borderId="0"/>
    <xf numFmtId="0" fontId="3" fillId="0" borderId="0"/>
    <xf numFmtId="0" fontId="65" fillId="0" borderId="0"/>
    <xf numFmtId="0" fontId="85" fillId="0" borderId="0"/>
    <xf numFmtId="0" fontId="1" fillId="0" borderId="0"/>
    <xf numFmtId="0" fontId="3" fillId="0" borderId="0"/>
    <xf numFmtId="0" fontId="1" fillId="0" borderId="0"/>
    <xf numFmtId="0" fontId="1" fillId="0" borderId="0"/>
    <xf numFmtId="0" fontId="79" fillId="0" borderId="0"/>
    <xf numFmtId="185" fontId="38" fillId="0" borderId="0"/>
    <xf numFmtId="0" fontId="79" fillId="0" borderId="0"/>
    <xf numFmtId="185" fontId="38" fillId="0" borderId="0"/>
    <xf numFmtId="0" fontId="5" fillId="0" borderId="0"/>
    <xf numFmtId="185" fontId="38" fillId="0" borderId="0"/>
    <xf numFmtId="0" fontId="79" fillId="0" borderId="0"/>
    <xf numFmtId="0" fontId="5" fillId="0" borderId="0"/>
    <xf numFmtId="0" fontId="3" fillId="0" borderId="0"/>
    <xf numFmtId="164" fontId="5" fillId="0" borderId="0"/>
    <xf numFmtId="0" fontId="3" fillId="0" borderId="0"/>
    <xf numFmtId="0" fontId="1" fillId="0" borderId="0"/>
    <xf numFmtId="0" fontId="5" fillId="0" borderId="0"/>
    <xf numFmtId="0" fontId="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164" fontId="5" fillId="0" borderId="0"/>
    <xf numFmtId="0" fontId="79" fillId="0" borderId="0"/>
    <xf numFmtId="164" fontId="5" fillId="0" borderId="0"/>
    <xf numFmtId="0" fontId="79" fillId="0" borderId="0"/>
    <xf numFmtId="0" fontId="5"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5" fillId="0" borderId="0"/>
    <xf numFmtId="0" fontId="5" fillId="0" borderId="0"/>
    <xf numFmtId="185" fontId="38" fillId="0" borderId="0"/>
    <xf numFmtId="164" fontId="5" fillId="0" borderId="0"/>
    <xf numFmtId="0" fontId="5" fillId="0" borderId="0"/>
    <xf numFmtId="164" fontId="5" fillId="0" borderId="0"/>
    <xf numFmtId="0" fontId="83" fillId="0" borderId="0"/>
    <xf numFmtId="0" fontId="62"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185" fontId="38" fillId="0" borderId="0"/>
    <xf numFmtId="164" fontId="5" fillId="0" borderId="0"/>
    <xf numFmtId="0" fontId="62" fillId="0" borderId="0"/>
    <xf numFmtId="0" fontId="5" fillId="0" borderId="0"/>
    <xf numFmtId="0" fontId="79" fillId="0" borderId="0"/>
    <xf numFmtId="0" fontId="5" fillId="0" borderId="0"/>
    <xf numFmtId="0" fontId="79" fillId="0" borderId="0"/>
    <xf numFmtId="0" fontId="79" fillId="0" borderId="0"/>
    <xf numFmtId="0" fontId="79" fillId="0" borderId="0"/>
    <xf numFmtId="0" fontId="79" fillId="0" borderId="0"/>
    <xf numFmtId="0" fontId="79" fillId="0" borderId="0"/>
    <xf numFmtId="0" fontId="5" fillId="0" borderId="0"/>
    <xf numFmtId="0" fontId="5" fillId="0" borderId="0"/>
    <xf numFmtId="0" fontId="5" fillId="0" borderId="0"/>
    <xf numFmtId="0" fontId="5" fillId="0" borderId="0"/>
    <xf numFmtId="0" fontId="79" fillId="0" borderId="0"/>
    <xf numFmtId="0" fontId="86" fillId="0" borderId="0"/>
    <xf numFmtId="0" fontId="5" fillId="0" borderId="0"/>
    <xf numFmtId="0" fontId="4" fillId="0" borderId="0">
      <alignment vertical="top"/>
    </xf>
    <xf numFmtId="0" fontId="79" fillId="0" borderId="0"/>
    <xf numFmtId="164" fontId="79" fillId="0" borderId="0"/>
    <xf numFmtId="0" fontId="79" fillId="0" borderId="0"/>
    <xf numFmtId="0" fontId="79" fillId="0" borderId="0"/>
    <xf numFmtId="0" fontId="79" fillId="0" borderId="0"/>
    <xf numFmtId="0" fontId="79" fillId="0" borderId="0"/>
    <xf numFmtId="0" fontId="79" fillId="0" borderId="0"/>
    <xf numFmtId="0" fontId="5" fillId="0" borderId="0"/>
    <xf numFmtId="0" fontId="5" fillId="0" borderId="0"/>
    <xf numFmtId="0" fontId="5" fillId="0" borderId="0"/>
    <xf numFmtId="0" fontId="5" fillId="0" borderId="0"/>
    <xf numFmtId="0" fontId="5" fillId="0" borderId="0"/>
    <xf numFmtId="0" fontId="79" fillId="0" borderId="0"/>
    <xf numFmtId="0" fontId="5" fillId="0" borderId="0"/>
    <xf numFmtId="0" fontId="83" fillId="0" borderId="0"/>
    <xf numFmtId="0" fontId="79" fillId="0" borderId="0"/>
    <xf numFmtId="0" fontId="83" fillId="0" borderId="0"/>
    <xf numFmtId="0" fontId="79" fillId="0" borderId="0"/>
    <xf numFmtId="0" fontId="79" fillId="0" borderId="0"/>
    <xf numFmtId="0" fontId="79" fillId="0" borderId="0"/>
    <xf numFmtId="185" fontId="38" fillId="0" borderId="0"/>
    <xf numFmtId="164" fontId="5" fillId="0" borderId="0"/>
    <xf numFmtId="0" fontId="62" fillId="0" borderId="0"/>
    <xf numFmtId="0" fontId="5" fillId="0" borderId="0"/>
    <xf numFmtId="0" fontId="83" fillId="0" borderId="0"/>
    <xf numFmtId="0" fontId="79" fillId="0" borderId="0"/>
    <xf numFmtId="0" fontId="83" fillId="0" borderId="0"/>
    <xf numFmtId="0" fontId="79" fillId="0" borderId="0"/>
    <xf numFmtId="0" fontId="83" fillId="0" borderId="0"/>
    <xf numFmtId="0" fontId="79" fillId="0" borderId="0"/>
    <xf numFmtId="0" fontId="83" fillId="0" borderId="0"/>
    <xf numFmtId="0" fontId="83" fillId="0" borderId="0"/>
    <xf numFmtId="0" fontId="5" fillId="0" borderId="0"/>
    <xf numFmtId="0" fontId="79" fillId="0" borderId="0"/>
    <xf numFmtId="0" fontId="79" fillId="0" borderId="0"/>
    <xf numFmtId="0" fontId="79" fillId="0" borderId="0"/>
    <xf numFmtId="0" fontId="79" fillId="0" borderId="0"/>
    <xf numFmtId="0" fontId="79" fillId="0" borderId="0"/>
    <xf numFmtId="185" fontId="38" fillId="0" borderId="0"/>
    <xf numFmtId="164" fontId="5" fillId="0" borderId="0"/>
    <xf numFmtId="0" fontId="5" fillId="0" borderId="0"/>
    <xf numFmtId="0" fontId="79" fillId="0" borderId="0"/>
    <xf numFmtId="0" fontId="79" fillId="0" borderId="0"/>
    <xf numFmtId="0" fontId="82" fillId="0" borderId="0"/>
    <xf numFmtId="0" fontId="82" fillId="0" borderId="0"/>
    <xf numFmtId="0" fontId="82" fillId="0" borderId="0"/>
    <xf numFmtId="0" fontId="5" fillId="0" borderId="0"/>
    <xf numFmtId="0" fontId="79" fillId="0" borderId="0"/>
    <xf numFmtId="0" fontId="79" fillId="0" borderId="0"/>
    <xf numFmtId="0" fontId="82" fillId="0" borderId="0"/>
    <xf numFmtId="0" fontId="82" fillId="0" borderId="0"/>
    <xf numFmtId="0" fontId="83" fillId="0" borderId="0"/>
    <xf numFmtId="164" fontId="79" fillId="0" borderId="0"/>
    <xf numFmtId="0" fontId="5" fillId="0" borderId="0"/>
    <xf numFmtId="0" fontId="82" fillId="0" borderId="0"/>
    <xf numFmtId="0" fontId="82" fillId="0" borderId="0"/>
    <xf numFmtId="0" fontId="82" fillId="0" borderId="0"/>
    <xf numFmtId="0" fontId="82" fillId="0" borderId="0"/>
    <xf numFmtId="0" fontId="5" fillId="0" borderId="0"/>
    <xf numFmtId="0" fontId="82" fillId="0" borderId="0"/>
    <xf numFmtId="0" fontId="79" fillId="0" borderId="0"/>
    <xf numFmtId="0" fontId="79" fillId="0" borderId="0"/>
    <xf numFmtId="0" fontId="79" fillId="0" borderId="0"/>
    <xf numFmtId="0" fontId="82" fillId="0" borderId="0"/>
    <xf numFmtId="0" fontId="5" fillId="0" borderId="0"/>
    <xf numFmtId="183" fontId="19" fillId="0" borderId="0" applyNumberFormat="0" applyFill="0" applyBorder="0" applyAlignment="0" applyProtection="0"/>
    <xf numFmtId="186" fontId="16" fillId="0" borderId="0" applyFont="0" applyFill="0" applyBorder="0" applyAlignment="0" applyProtection="0"/>
    <xf numFmtId="186" fontId="16" fillId="0" borderId="0" applyFont="0" applyFill="0" applyBorder="0" applyAlignment="0" applyProtection="0"/>
    <xf numFmtId="164" fontId="5" fillId="0" borderId="0"/>
    <xf numFmtId="0" fontId="5" fillId="0" borderId="0"/>
    <xf numFmtId="0" fontId="79" fillId="0" borderId="0"/>
    <xf numFmtId="164" fontId="39" fillId="0" borderId="0"/>
    <xf numFmtId="164" fontId="5" fillId="25" borderId="12" applyNumberFormat="0" applyFont="0" applyAlignment="0" applyProtection="0"/>
    <xf numFmtId="164" fontId="5" fillId="25" borderId="12" applyNumberFormat="0" applyFont="0" applyAlignment="0" applyProtection="0"/>
    <xf numFmtId="164"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3" fillId="25" borderId="12" applyNumberFormat="0" applyFont="0" applyAlignment="0" applyProtection="0"/>
    <xf numFmtId="0" fontId="3" fillId="25" borderId="12" applyNumberFormat="0" applyFont="0" applyAlignment="0" applyProtection="0"/>
    <xf numFmtId="0" fontId="3"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1"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1" fillId="25" borderId="12" applyNumberFormat="0" applyFont="0" applyAlignment="0" applyProtection="0"/>
    <xf numFmtId="0" fontId="3"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1"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5" fillId="25" borderId="12" applyNumberFormat="0" applyFont="0" applyAlignment="0" applyProtection="0"/>
    <xf numFmtId="0" fontId="1" fillId="25" borderId="12" applyNumberFormat="0" applyFont="0" applyAlignment="0" applyProtection="0"/>
    <xf numFmtId="0" fontId="3" fillId="43" borderId="26" applyNumberFormat="0" applyFont="0" applyAlignment="0" applyProtection="0"/>
    <xf numFmtId="0" fontId="2" fillId="43" borderId="26" applyNumberFormat="0" applyFont="0" applyAlignment="0" applyProtection="0"/>
    <xf numFmtId="0" fontId="79" fillId="43" borderId="26" applyNumberFormat="0" applyFont="0" applyAlignment="0" applyProtection="0"/>
    <xf numFmtId="0" fontId="1" fillId="43" borderId="26" applyNumberFormat="0" applyFont="0" applyAlignment="0" applyProtection="0"/>
    <xf numFmtId="0" fontId="3" fillId="43" borderId="26" applyNumberFormat="0" applyFont="0" applyAlignment="0" applyProtection="0"/>
    <xf numFmtId="0" fontId="1" fillId="43" borderId="26" applyNumberFormat="0" applyFont="0" applyAlignment="0" applyProtection="0"/>
    <xf numFmtId="0" fontId="5" fillId="25" borderId="12" applyNumberFormat="0" applyFont="0" applyAlignment="0" applyProtection="0"/>
    <xf numFmtId="0" fontId="1" fillId="43" borderId="26" applyNumberFormat="0" applyFont="0" applyAlignment="0" applyProtection="0"/>
    <xf numFmtId="0" fontId="3" fillId="25" borderId="12" applyNumberFormat="0" applyFont="0" applyAlignment="0" applyProtection="0"/>
    <xf numFmtId="0" fontId="3" fillId="25" borderId="12" applyNumberFormat="0" applyFont="0" applyAlignment="0" applyProtection="0"/>
    <xf numFmtId="0" fontId="3" fillId="25" borderId="12" applyNumberFormat="0" applyFont="0" applyAlignment="0" applyProtection="0"/>
    <xf numFmtId="0" fontId="3" fillId="25" borderId="12" applyNumberFormat="0" applyFont="0" applyAlignment="0" applyProtection="0"/>
    <xf numFmtId="0" fontId="1" fillId="25" borderId="12" applyNumberFormat="0" applyFont="0" applyAlignment="0" applyProtection="0"/>
    <xf numFmtId="0" fontId="1" fillId="25" borderId="12" applyNumberFormat="0" applyFont="0" applyAlignment="0" applyProtection="0"/>
    <xf numFmtId="0" fontId="3" fillId="25" borderId="12" applyNumberFormat="0" applyFont="0" applyAlignment="0" applyProtection="0"/>
    <xf numFmtId="0" fontId="1" fillId="25" borderId="12" applyNumberFormat="0" applyFont="0" applyAlignment="0" applyProtection="0"/>
    <xf numFmtId="0" fontId="1" fillId="25" borderId="12" applyNumberFormat="0" applyFont="0" applyAlignment="0" applyProtection="0"/>
    <xf numFmtId="0" fontId="3" fillId="25" borderId="12" applyNumberFormat="0" applyFont="0" applyAlignment="0" applyProtection="0"/>
    <xf numFmtId="0" fontId="3" fillId="25" borderId="12" applyNumberFormat="0" applyFont="0" applyAlignment="0" applyProtection="0"/>
    <xf numFmtId="0" fontId="1" fillId="25" borderId="12" applyNumberFormat="0" applyFont="0" applyAlignment="0" applyProtection="0"/>
    <xf numFmtId="0" fontId="1" fillId="25" borderId="12" applyNumberFormat="0" applyFont="0" applyAlignment="0" applyProtection="0"/>
    <xf numFmtId="0" fontId="3" fillId="25" borderId="12" applyNumberFormat="0" applyFont="0" applyAlignment="0" applyProtection="0"/>
    <xf numFmtId="0" fontId="1" fillId="25" borderId="12" applyNumberFormat="0" applyFont="0" applyAlignment="0" applyProtection="0"/>
    <xf numFmtId="0" fontId="5" fillId="25" borderId="12" applyNumberFormat="0" applyFont="0" applyAlignment="0" applyProtection="0"/>
    <xf numFmtId="0" fontId="1" fillId="25" borderId="12" applyNumberFormat="0" applyFont="0" applyAlignment="0" applyProtection="0"/>
    <xf numFmtId="164" fontId="16" fillId="0" borderId="0" applyFont="0" applyFill="0" applyBorder="0" applyAlignment="0" applyProtection="0"/>
    <xf numFmtId="164"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40" fontId="5" fillId="26" borderId="0"/>
    <xf numFmtId="164" fontId="16" fillId="0" borderId="0" applyFont="0" applyFill="0" applyBorder="0" applyAlignment="0" applyProtection="0"/>
    <xf numFmtId="164"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40" fillId="20" borderId="13" applyNumberFormat="0" applyAlignment="0" applyProtection="0"/>
    <xf numFmtId="0" fontId="40" fillId="20" borderId="13" applyNumberFormat="0" applyAlignment="0" applyProtection="0"/>
    <xf numFmtId="0" fontId="40" fillId="20" borderId="13" applyNumberFormat="0" applyAlignment="0" applyProtection="0"/>
    <xf numFmtId="0" fontId="40" fillId="20" borderId="13" applyNumberFormat="0" applyAlignment="0" applyProtection="0"/>
    <xf numFmtId="1" fontId="41" fillId="0" borderId="0" applyProtection="0">
      <alignment horizontal="right" vertical="center"/>
    </xf>
    <xf numFmtId="187" fontId="16" fillId="0" borderId="0"/>
    <xf numFmtId="187" fontId="16" fillId="0" borderId="0"/>
    <xf numFmtId="9" fontId="2" fillId="0" borderId="0" applyFont="0" applyFill="0" applyBorder="0" applyAlignment="0" applyProtection="0"/>
    <xf numFmtId="9" fontId="35" fillId="0" borderId="14" applyBorder="0"/>
    <xf numFmtId="9" fontId="35" fillId="0" borderId="14" applyBorder="0"/>
    <xf numFmtId="9" fontId="35" fillId="0" borderId="14" applyBorder="0"/>
    <xf numFmtId="9" fontId="35" fillId="0" borderId="14" applyBorder="0"/>
    <xf numFmtId="9" fontId="35" fillId="0" borderId="14" applyBorder="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8" fontId="5" fillId="0" borderId="0" applyFont="0" applyFill="0" applyBorder="0" applyAlignment="0"/>
    <xf numFmtId="189" fontId="16" fillId="0" borderId="0" applyFont="0" applyFill="0" applyBorder="0" applyAlignment="0"/>
    <xf numFmtId="189" fontId="16"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190" fontId="5" fillId="0" borderId="0" applyFont="0" applyFill="0" applyBorder="0" applyAlignment="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64" fillId="0" borderId="0" applyFont="0" applyFill="0" applyBorder="0" applyAlignment="0" applyProtection="0"/>
    <xf numFmtId="9" fontId="5" fillId="0" borderId="0" applyFont="0" applyFill="0" applyBorder="0" applyAlignment="0" applyProtection="0"/>
    <xf numFmtId="9" fontId="83"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79" fillId="0" borderId="0" applyFont="0" applyFill="0" applyBorder="0" applyAlignment="0" applyProtection="0"/>
    <xf numFmtId="9" fontId="2"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79"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64" fillId="0" borderId="0" applyFont="0" applyFill="0" applyBorder="0" applyAlignment="0" applyProtection="0"/>
    <xf numFmtId="9" fontId="5" fillId="0" borderId="0" applyFont="0" applyFill="0" applyBorder="0" applyAlignment="0" applyProtection="0"/>
    <xf numFmtId="9" fontId="83"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5" fillId="0" borderId="14" applyBorder="0"/>
    <xf numFmtId="9" fontId="35" fillId="0" borderId="14" applyBorder="0"/>
    <xf numFmtId="9" fontId="35" fillId="0" borderId="14" applyBorder="0"/>
    <xf numFmtId="9" fontId="35" fillId="0" borderId="14" applyBorder="0"/>
    <xf numFmtId="9" fontId="35" fillId="0" borderId="14" applyBorder="0"/>
    <xf numFmtId="164" fontId="16" fillId="0" borderId="0" applyFont="0" applyFill="0" applyBorder="0" applyAlignment="0" applyProtection="0"/>
    <xf numFmtId="164"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10" fontId="24" fillId="0" borderId="0" applyFont="0" applyFill="0" applyBorder="0" applyAlignment="0" applyProtection="0"/>
    <xf numFmtId="9" fontId="5" fillId="0" borderId="0" applyFont="0" applyFill="0" applyBorder="0" applyAlignment="0" applyProtection="0"/>
    <xf numFmtId="183" fontId="42" fillId="0" borderId="0" applyNumberFormat="0" applyFill="0" applyBorder="0" applyAlignment="0" applyProtection="0">
      <alignment horizontal="left"/>
    </xf>
    <xf numFmtId="164" fontId="43" fillId="0" borderId="0" applyNumberFormat="0" applyBorder="0" applyAlignment="0" applyProtection="0"/>
    <xf numFmtId="164" fontId="43" fillId="0" borderId="0" applyNumberFormat="0" applyBorder="0" applyAlignment="0" applyProtection="0"/>
    <xf numFmtId="0" fontId="43" fillId="0" borderId="0" applyNumberFormat="0" applyBorder="0" applyAlignment="0" applyProtection="0"/>
    <xf numFmtId="164" fontId="43" fillId="0" borderId="0" applyNumberFormat="0" applyAlignment="0" applyProtection="0"/>
    <xf numFmtId="164" fontId="43" fillId="0" borderId="0" applyNumberFormat="0" applyAlignment="0" applyProtection="0"/>
    <xf numFmtId="0" fontId="43" fillId="0" borderId="0" applyNumberFormat="0" applyAlignment="0" applyProtection="0"/>
    <xf numFmtId="164" fontId="40" fillId="20" borderId="13" applyNumberFormat="0" applyAlignment="0" applyProtection="0"/>
    <xf numFmtId="164" fontId="40" fillId="20" borderId="13" applyNumberFormat="0" applyAlignment="0" applyProtection="0"/>
    <xf numFmtId="164" fontId="40" fillId="20" borderId="13" applyNumberFormat="0" applyAlignment="0" applyProtection="0"/>
    <xf numFmtId="164" fontId="40" fillId="20" borderId="13" applyNumberFormat="0" applyAlignment="0" applyProtection="0"/>
    <xf numFmtId="0" fontId="40" fillId="20" borderId="13" applyNumberFormat="0" applyAlignment="0" applyProtection="0"/>
    <xf numFmtId="0" fontId="40" fillId="20" borderId="13" applyNumberFormat="0" applyAlignment="0" applyProtection="0"/>
    <xf numFmtId="4" fontId="44" fillId="27" borderId="15">
      <alignment vertical="center"/>
    </xf>
    <xf numFmtId="4" fontId="44" fillId="27" borderId="15">
      <alignment vertical="center"/>
    </xf>
    <xf numFmtId="4" fontId="44" fillId="27" borderId="15">
      <alignment vertical="center"/>
    </xf>
    <xf numFmtId="4" fontId="45" fillId="27" borderId="15">
      <alignment vertical="center"/>
    </xf>
    <xf numFmtId="4" fontId="45" fillId="27" borderId="15">
      <alignment vertical="center"/>
    </xf>
    <xf numFmtId="4" fontId="45" fillId="27" borderId="15">
      <alignment vertical="center"/>
    </xf>
    <xf numFmtId="4" fontId="46" fillId="27" borderId="15">
      <alignment horizontal="left" vertical="center" indent="1"/>
    </xf>
    <xf numFmtId="4" fontId="46" fillId="27" borderId="15">
      <alignment horizontal="left" vertical="center" indent="1"/>
    </xf>
    <xf numFmtId="4" fontId="46" fillId="27" borderId="15">
      <alignment horizontal="left" vertical="center" indent="1"/>
    </xf>
    <xf numFmtId="4" fontId="46" fillId="25" borderId="0" applyNumberFormat="0" applyProtection="0">
      <alignment horizontal="left" vertical="center" indent="1"/>
    </xf>
    <xf numFmtId="4" fontId="46" fillId="28" borderId="15">
      <alignment horizontal="right" vertical="center"/>
    </xf>
    <xf numFmtId="4" fontId="46" fillId="28" borderId="15">
      <alignment horizontal="right" vertical="center"/>
    </xf>
    <xf numFmtId="4" fontId="46" fillId="28" borderId="15">
      <alignment horizontal="right" vertical="center"/>
    </xf>
    <xf numFmtId="4" fontId="46" fillId="28" borderId="15" applyNumberFormat="0" applyProtection="0">
      <alignment horizontal="right" vertical="center"/>
    </xf>
    <xf numFmtId="4" fontId="46" fillId="28" borderId="15" applyNumberFormat="0" applyProtection="0">
      <alignment horizontal="right" vertical="center"/>
    </xf>
    <xf numFmtId="4" fontId="46" fillId="28" borderId="15" applyNumberFormat="0" applyProtection="0">
      <alignment horizontal="right" vertical="center"/>
    </xf>
    <xf numFmtId="4" fontId="46" fillId="28" borderId="15">
      <alignment horizontal="right" vertical="center"/>
    </xf>
    <xf numFmtId="4" fontId="46" fillId="28" borderId="15">
      <alignment horizontal="right" vertical="center"/>
    </xf>
    <xf numFmtId="4" fontId="46" fillId="28" borderId="15">
      <alignment horizontal="right" vertical="center"/>
    </xf>
    <xf numFmtId="4" fontId="46" fillId="29" borderId="15">
      <alignment horizontal="right" vertical="center"/>
    </xf>
    <xf numFmtId="4" fontId="46" fillId="29" borderId="15">
      <alignment horizontal="right" vertical="center"/>
    </xf>
    <xf numFmtId="4" fontId="46" fillId="29" borderId="15">
      <alignment horizontal="right" vertical="center"/>
    </xf>
    <xf numFmtId="4" fontId="46" fillId="29" borderId="15" applyNumberFormat="0" applyProtection="0">
      <alignment horizontal="right" vertical="center"/>
    </xf>
    <xf numFmtId="4" fontId="46" fillId="29" borderId="15" applyNumberFormat="0" applyProtection="0">
      <alignment horizontal="right" vertical="center"/>
    </xf>
    <xf numFmtId="4" fontId="46" fillId="29" borderId="15" applyNumberFormat="0" applyProtection="0">
      <alignment horizontal="right" vertical="center"/>
    </xf>
    <xf numFmtId="4" fontId="46" fillId="29" borderId="15">
      <alignment horizontal="right" vertical="center"/>
    </xf>
    <xf numFmtId="4" fontId="46" fillId="29" borderId="15">
      <alignment horizontal="right" vertical="center"/>
    </xf>
    <xf numFmtId="4" fontId="46" fillId="29" borderId="15">
      <alignment horizontal="right" vertical="center"/>
    </xf>
    <xf numFmtId="4" fontId="46" fillId="30" borderId="15">
      <alignment horizontal="right" vertical="center"/>
    </xf>
    <xf numFmtId="4" fontId="46" fillId="30" borderId="15">
      <alignment horizontal="right" vertical="center"/>
    </xf>
    <xf numFmtId="4" fontId="46" fillId="30" borderId="15">
      <alignment horizontal="right" vertical="center"/>
    </xf>
    <xf numFmtId="4" fontId="46" fillId="30" borderId="15">
      <alignment horizontal="right" vertical="center"/>
    </xf>
    <xf numFmtId="4" fontId="46" fillId="30" borderId="15">
      <alignment horizontal="right" vertical="center"/>
    </xf>
    <xf numFmtId="4" fontId="46" fillId="30" borderId="15">
      <alignment horizontal="right" vertical="center"/>
    </xf>
    <xf numFmtId="4" fontId="46" fillId="30" borderId="15" applyNumberFormat="0" applyProtection="0">
      <alignment horizontal="right" vertical="center"/>
    </xf>
    <xf numFmtId="4" fontId="46" fillId="30" borderId="15" applyNumberFormat="0" applyProtection="0">
      <alignment horizontal="right" vertical="center"/>
    </xf>
    <xf numFmtId="4" fontId="46" fillId="30" borderId="15" applyNumberFormat="0" applyProtection="0">
      <alignment horizontal="right" vertical="center"/>
    </xf>
    <xf numFmtId="4" fontId="44" fillId="31" borderId="16" applyNumberFormat="0" applyProtection="0">
      <alignment horizontal="left" vertical="center" indent="1"/>
    </xf>
    <xf numFmtId="4" fontId="44" fillId="32" borderId="0">
      <alignment horizontal="left" vertical="center" indent="1"/>
    </xf>
    <xf numFmtId="4" fontId="44" fillId="33" borderId="0">
      <alignment horizontal="left" vertical="center" indent="1"/>
    </xf>
    <xf numFmtId="4" fontId="46" fillId="32" borderId="15">
      <alignment horizontal="right" vertical="center"/>
    </xf>
    <xf numFmtId="4" fontId="46" fillId="32" borderId="15">
      <alignment horizontal="right" vertical="center"/>
    </xf>
    <xf numFmtId="4" fontId="46" fillId="32" borderId="15">
      <alignment horizontal="right" vertical="center"/>
    </xf>
    <xf numFmtId="4" fontId="4" fillId="32" borderId="0">
      <alignment horizontal="left" vertical="center" indent="1"/>
    </xf>
    <xf numFmtId="4" fontId="4" fillId="32" borderId="0">
      <alignment horizontal="left" vertical="center" indent="1"/>
    </xf>
    <xf numFmtId="4" fontId="4" fillId="25" borderId="0" applyNumberFormat="0" applyProtection="0">
      <alignment horizontal="left" vertical="center" indent="1"/>
    </xf>
    <xf numFmtId="4" fontId="4" fillId="25" borderId="0" applyNumberFormat="0" applyProtection="0">
      <alignment horizontal="left" vertical="center" indent="1"/>
    </xf>
    <xf numFmtId="4" fontId="46" fillId="22" borderId="15" applyNumberFormat="0" applyProtection="0">
      <alignment vertical="center"/>
    </xf>
    <xf numFmtId="4" fontId="46" fillId="22" borderId="15" applyNumberFormat="0" applyProtection="0">
      <alignment vertical="center"/>
    </xf>
    <xf numFmtId="4" fontId="46" fillId="22" borderId="15" applyNumberFormat="0" applyProtection="0">
      <alignment vertical="center"/>
    </xf>
    <xf numFmtId="4" fontId="47" fillId="22" borderId="15" applyNumberFormat="0" applyProtection="0">
      <alignment vertical="center"/>
    </xf>
    <xf numFmtId="4" fontId="47" fillId="22" borderId="15" applyNumberFormat="0" applyProtection="0">
      <alignment vertical="center"/>
    </xf>
    <xf numFmtId="4" fontId="47" fillId="22" borderId="15" applyNumberFormat="0" applyProtection="0">
      <alignment vertical="center"/>
    </xf>
    <xf numFmtId="4" fontId="44" fillId="22" borderId="15">
      <alignment horizontal="left" vertical="center" indent="1"/>
    </xf>
    <xf numFmtId="4" fontId="44" fillId="22" borderId="15">
      <alignment horizontal="left" vertical="center" indent="1"/>
    </xf>
    <xf numFmtId="4" fontId="44" fillId="22" borderId="15">
      <alignment horizontal="left" vertical="center" indent="1"/>
    </xf>
    <xf numFmtId="4" fontId="46" fillId="34" borderId="15" applyNumberFormat="0" applyProtection="0">
      <alignment horizontal="right" vertical="center"/>
    </xf>
    <xf numFmtId="4" fontId="46" fillId="34" borderId="15" applyNumberFormat="0" applyProtection="0">
      <alignment horizontal="right" vertical="center"/>
    </xf>
    <xf numFmtId="4" fontId="46" fillId="34" borderId="15" applyNumberFormat="0" applyProtection="0">
      <alignment horizontal="right" vertical="center"/>
    </xf>
    <xf numFmtId="4" fontId="47" fillId="34" borderId="15" applyNumberFormat="0" applyProtection="0">
      <alignment horizontal="right" vertical="center"/>
    </xf>
    <xf numFmtId="4" fontId="47" fillId="34" borderId="15" applyNumberFormat="0" applyProtection="0">
      <alignment horizontal="right" vertical="center"/>
    </xf>
    <xf numFmtId="4" fontId="47" fillId="34" borderId="15" applyNumberFormat="0" applyProtection="0">
      <alignment horizontal="right" vertical="center"/>
    </xf>
    <xf numFmtId="4" fontId="44" fillId="32" borderId="15">
      <alignment horizontal="left" vertical="center" indent="1"/>
    </xf>
    <xf numFmtId="4" fontId="44" fillId="32" borderId="15">
      <alignment horizontal="left" vertical="center" indent="1"/>
    </xf>
    <xf numFmtId="4" fontId="44" fillId="32" borderId="15">
      <alignment horizontal="left" vertical="center" indent="1"/>
    </xf>
    <xf numFmtId="4" fontId="48" fillId="35" borderId="17" applyNumberFormat="0" applyProtection="0">
      <alignment horizontal="left" vertical="center" indent="1"/>
    </xf>
    <xf numFmtId="4" fontId="48" fillId="35" borderId="17" applyNumberFormat="0" applyProtection="0">
      <alignment horizontal="left" vertical="center" indent="1"/>
    </xf>
    <xf numFmtId="4" fontId="48" fillId="35" borderId="17" applyNumberFormat="0" applyProtection="0">
      <alignment horizontal="left" vertical="center" indent="1"/>
    </xf>
    <xf numFmtId="4" fontId="49" fillId="34" borderId="15" applyNumberFormat="0" applyProtection="0">
      <alignment horizontal="right" vertical="center"/>
    </xf>
    <xf numFmtId="4" fontId="49" fillId="34" borderId="15" applyNumberFormat="0" applyProtection="0">
      <alignment horizontal="right" vertical="center"/>
    </xf>
    <xf numFmtId="4" fontId="49" fillId="34" borderId="15" applyNumberFormat="0" applyProtection="0">
      <alignment horizontal="right" vertical="center"/>
    </xf>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1" fontId="24" fillId="0" borderId="0" applyFont="0" applyFill="0" applyBorder="0" applyAlignment="0" applyProtection="0"/>
    <xf numFmtId="3" fontId="35" fillId="0" borderId="0"/>
    <xf numFmtId="0" fontId="35" fillId="0" borderId="0"/>
    <xf numFmtId="164" fontId="50" fillId="0" borderId="18"/>
    <xf numFmtId="164" fontId="50" fillId="0" borderId="18"/>
    <xf numFmtId="0" fontId="50" fillId="0" borderId="18"/>
    <xf numFmtId="164" fontId="5" fillId="0" borderId="0"/>
    <xf numFmtId="164" fontId="50" fillId="36" borderId="0"/>
    <xf numFmtId="164" fontId="50" fillId="36" borderId="0"/>
    <xf numFmtId="0" fontId="50" fillId="36" borderId="0"/>
    <xf numFmtId="164" fontId="50" fillId="0" borderId="19"/>
    <xf numFmtId="164" fontId="50" fillId="0" borderId="19"/>
    <xf numFmtId="0" fontId="50" fillId="0" borderId="19"/>
    <xf numFmtId="164" fontId="51" fillId="0" borderId="0" applyBorder="0" applyProtection="0">
      <alignment vertical="center"/>
    </xf>
    <xf numFmtId="164" fontId="51" fillId="0" borderId="0" applyBorder="0" applyProtection="0">
      <alignment vertical="center"/>
    </xf>
    <xf numFmtId="0" fontId="51" fillId="0" borderId="0" applyBorder="0" applyProtection="0">
      <alignment vertical="center"/>
    </xf>
    <xf numFmtId="175" fontId="51" fillId="0" borderId="20" applyBorder="0" applyProtection="0">
      <alignment horizontal="right" vertical="center"/>
    </xf>
    <xf numFmtId="164" fontId="52" fillId="37" borderId="0" applyBorder="0" applyProtection="0">
      <alignment horizontal="centerContinuous" vertical="center"/>
    </xf>
    <xf numFmtId="164" fontId="52" fillId="37" borderId="0" applyBorder="0" applyProtection="0">
      <alignment horizontal="centerContinuous" vertical="center"/>
    </xf>
    <xf numFmtId="0" fontId="52" fillId="37" borderId="0" applyBorder="0" applyProtection="0">
      <alignment horizontal="centerContinuous" vertical="center"/>
    </xf>
    <xf numFmtId="164" fontId="52" fillId="38" borderId="20" applyBorder="0" applyProtection="0">
      <alignment horizontal="centerContinuous" vertical="center"/>
    </xf>
    <xf numFmtId="164" fontId="52" fillId="38" borderId="20" applyBorder="0" applyProtection="0">
      <alignment horizontal="centerContinuous" vertical="center"/>
    </xf>
    <xf numFmtId="0" fontId="52" fillId="38" borderId="20" applyBorder="0" applyProtection="0">
      <alignment horizontal="centerContinuous" vertical="center"/>
    </xf>
    <xf numFmtId="164" fontId="53" fillId="0" borderId="0" applyFill="0" applyBorder="0" applyProtection="0">
      <alignment horizontal="left"/>
    </xf>
    <xf numFmtId="164" fontId="53" fillId="0" borderId="0" applyFill="0" applyBorder="0" applyProtection="0">
      <alignment horizontal="left"/>
    </xf>
    <xf numFmtId="0" fontId="53" fillId="0" borderId="0" applyFill="0" applyBorder="0" applyProtection="0">
      <alignment horizontal="left"/>
    </xf>
    <xf numFmtId="164" fontId="27" fillId="0" borderId="21" applyFill="0" applyBorder="0" applyProtection="0">
      <alignment horizontal="left" vertical="top"/>
    </xf>
    <xf numFmtId="164" fontId="27" fillId="0" borderId="21" applyFill="0" applyBorder="0" applyProtection="0">
      <alignment horizontal="left" vertical="top"/>
    </xf>
    <xf numFmtId="0" fontId="27" fillId="0" borderId="21" applyFill="0" applyBorder="0" applyProtection="0">
      <alignment horizontal="left" vertical="top"/>
    </xf>
    <xf numFmtId="164" fontId="54" fillId="0" borderId="0" applyNumberFormat="0" applyFill="0" applyBorder="0" applyAlignment="0" applyProtection="0"/>
    <xf numFmtId="0" fontId="54" fillId="0" borderId="0" applyNumberFormat="0" applyFill="0" applyBorder="0" applyAlignment="0" applyProtection="0"/>
    <xf numFmtId="164" fontId="23" fillId="0" borderId="0" applyNumberFormat="0" applyFill="0" applyBorder="0" applyAlignment="0" applyProtection="0"/>
    <xf numFmtId="0" fontId="23" fillId="0" borderId="0" applyNumberFormat="0" applyFill="0" applyBorder="0" applyAlignment="0" applyProtection="0"/>
    <xf numFmtId="0" fontId="54" fillId="0" borderId="0" applyNumberFormat="0" applyFill="0" applyBorder="0" applyAlignment="0" applyProtection="0"/>
    <xf numFmtId="164" fontId="23" fillId="0" borderId="0" applyNumberFormat="0" applyFill="0" applyBorder="0" applyAlignment="0" applyProtection="0"/>
    <xf numFmtId="0" fontId="23" fillId="0" borderId="0" applyNumberFormat="0" applyFill="0" applyBorder="0" applyAlignment="0" applyProtection="0"/>
    <xf numFmtId="0" fontId="55" fillId="0" borderId="0" applyNumberFormat="0" applyFill="0" applyBorder="0" applyAlignment="0" applyProtection="0"/>
    <xf numFmtId="164" fontId="55" fillId="0" borderId="0" applyNumberFormat="0" applyFill="0" applyBorder="0" applyAlignment="0" applyProtection="0"/>
    <xf numFmtId="164" fontId="29" fillId="0" borderId="6" applyNumberFormat="0" applyFill="0" applyAlignment="0" applyProtection="0"/>
    <xf numFmtId="0" fontId="29" fillId="0" borderId="6" applyNumberFormat="0" applyFill="0" applyAlignment="0" applyProtection="0"/>
    <xf numFmtId="164" fontId="56" fillId="0" borderId="7" applyNumberFormat="0" applyFill="0" applyAlignment="0" applyProtection="0"/>
    <xf numFmtId="0" fontId="56" fillId="0" borderId="7" applyNumberFormat="0" applyFill="0" applyAlignment="0" applyProtection="0"/>
    <xf numFmtId="164" fontId="21" fillId="0" borderId="8" applyNumberFormat="0" applyFill="0" applyAlignment="0" applyProtection="0"/>
    <xf numFmtId="0" fontId="21" fillId="0" borderId="8" applyNumberFormat="0" applyFill="0" applyAlignment="0" applyProtection="0"/>
    <xf numFmtId="164" fontId="21" fillId="0" borderId="0" applyNumberFormat="0" applyFill="0" applyBorder="0" applyAlignment="0" applyProtection="0"/>
    <xf numFmtId="0" fontId="21" fillId="0" borderId="0" applyNumberFormat="0" applyFill="0" applyBorder="0" applyAlignment="0" applyProtection="0"/>
    <xf numFmtId="0" fontId="55" fillId="0" borderId="0" applyNumberFormat="0" applyFill="0" applyBorder="0" applyAlignment="0" applyProtection="0"/>
    <xf numFmtId="164" fontId="29" fillId="0" borderId="6" applyNumberFormat="0" applyFill="0" applyAlignment="0" applyProtection="0"/>
    <xf numFmtId="0" fontId="29" fillId="0" borderId="6" applyNumberFormat="0" applyFill="0" applyAlignment="0" applyProtection="0"/>
    <xf numFmtId="164" fontId="56" fillId="0" borderId="7" applyNumberFormat="0" applyFill="0" applyAlignment="0" applyProtection="0"/>
    <xf numFmtId="0" fontId="56" fillId="0" borderId="7" applyNumberFormat="0" applyFill="0" applyAlignment="0" applyProtection="0"/>
    <xf numFmtId="164" fontId="21" fillId="0" borderId="8" applyNumberFormat="0" applyFill="0" applyAlignment="0" applyProtection="0"/>
    <xf numFmtId="0" fontId="21" fillId="0" borderId="8" applyNumberFormat="0" applyFill="0" applyAlignment="0" applyProtection="0"/>
    <xf numFmtId="164" fontId="55" fillId="0" borderId="0" applyNumberFormat="0" applyFill="0" applyBorder="0" applyAlignment="0" applyProtection="0"/>
    <xf numFmtId="0" fontId="55" fillId="0" borderId="0" applyNumberFormat="0" applyFill="0" applyBorder="0" applyAlignment="0" applyProtection="0"/>
    <xf numFmtId="164" fontId="50" fillId="36" borderId="0"/>
    <xf numFmtId="164" fontId="50" fillId="36" borderId="0"/>
    <xf numFmtId="0" fontId="50" fillId="36" borderId="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164" fontId="57" fillId="0" borderId="22" applyNumberFormat="0" applyFill="0" applyAlignment="0" applyProtection="0"/>
    <xf numFmtId="164" fontId="57" fillId="0" borderId="22" applyNumberFormat="0" applyFill="0" applyAlignment="0" applyProtection="0"/>
    <xf numFmtId="164"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37" fontId="16" fillId="27" borderId="0" applyNumberFormat="0" applyBorder="0" applyAlignment="0" applyProtection="0"/>
    <xf numFmtId="37" fontId="16" fillId="0" borderId="0"/>
    <xf numFmtId="37" fontId="16" fillId="23" borderId="0" applyNumberFormat="0" applyBorder="0" applyAlignment="0" applyProtection="0"/>
    <xf numFmtId="3" fontId="20" fillId="0" borderId="9" applyProtection="0"/>
    <xf numFmtId="164" fontId="8" fillId="3" borderId="0" applyNumberFormat="0" applyBorder="0" applyAlignment="0" applyProtection="0"/>
    <xf numFmtId="0" fontId="8" fillId="3" borderId="0" applyNumberFormat="0" applyBorder="0" applyAlignment="0" applyProtection="0"/>
    <xf numFmtId="164" fontId="9" fillId="4" borderId="0" applyNumberFormat="0" applyBorder="0" applyAlignment="0" applyProtection="0"/>
    <xf numFmtId="0" fontId="9" fillId="4" borderId="0" applyNumberFormat="0" applyBorder="0" applyAlignment="0" applyProtection="0"/>
    <xf numFmtId="42" fontId="5" fillId="0" borderId="0" applyFont="0" applyFill="0" applyBorder="0" applyAlignment="0" applyProtection="0"/>
    <xf numFmtId="191" fontId="5" fillId="0" borderId="0" applyFont="0" applyFill="0" applyBorder="0" applyAlignment="0" applyProtection="0"/>
    <xf numFmtId="44" fontId="5" fillId="0" borderId="0" applyFont="0" applyFill="0" applyBorder="0" applyAlignment="0" applyProtection="0"/>
    <xf numFmtId="192" fontId="35" fillId="0" borderId="0"/>
    <xf numFmtId="0" fontId="54" fillId="0" borderId="0" applyNumberFormat="0" applyFill="0" applyBorder="0" applyAlignment="0" applyProtection="0"/>
    <xf numFmtId="183" fontId="58" fillId="0" borderId="0" applyNumberFormat="0" applyFill="0" applyBorder="0" applyAlignment="0" applyProtection="0"/>
    <xf numFmtId="193" fontId="59" fillId="0" borderId="20" applyBorder="0" applyProtection="0">
      <alignment horizontal="right"/>
    </xf>
  </cellStyleXfs>
  <cellXfs count="327">
    <xf numFmtId="0" fontId="0" fillId="0" borderId="0" xfId="0"/>
    <xf numFmtId="0" fontId="66" fillId="44" borderId="0" xfId="0" applyFont="1" applyFill="1" applyAlignment="1">
      <alignment vertical="center" wrapText="1"/>
    </xf>
    <xf numFmtId="0" fontId="66" fillId="44" borderId="0" xfId="0" applyFont="1" applyFill="1" applyBorder="1" applyAlignment="1">
      <alignment vertical="center" wrapText="1"/>
    </xf>
    <xf numFmtId="14" fontId="82" fillId="44" borderId="27" xfId="726" applyNumberFormat="1" applyFill="1" applyBorder="1" applyAlignment="1">
      <alignment horizontal="left" vertical="center" wrapText="1"/>
    </xf>
    <xf numFmtId="10" fontId="66" fillId="44" borderId="0" xfId="0" applyNumberFormat="1" applyFont="1" applyFill="1" applyBorder="1" applyAlignment="1">
      <alignment horizontal="left" vertical="center" wrapText="1"/>
    </xf>
    <xf numFmtId="0" fontId="66" fillId="44" borderId="21" xfId="0" applyFont="1" applyFill="1" applyBorder="1" applyAlignment="1">
      <alignment vertical="center" wrapText="1"/>
    </xf>
    <xf numFmtId="0" fontId="67" fillId="44" borderId="27" xfId="800" applyFont="1" applyFill="1" applyBorder="1" applyAlignment="1">
      <alignment vertical="center" wrapText="1"/>
    </xf>
    <xf numFmtId="0" fontId="66" fillId="44" borderId="0" xfId="0" applyFont="1" applyFill="1" applyBorder="1" applyAlignment="1">
      <alignment horizontal="center" vertical="center" wrapText="1"/>
    </xf>
    <xf numFmtId="0" fontId="66" fillId="44" borderId="27" xfId="0" applyFont="1" applyFill="1" applyBorder="1" applyAlignment="1">
      <alignment horizontal="center" vertical="center" wrapText="1"/>
    </xf>
    <xf numFmtId="0" fontId="66" fillId="44" borderId="0" xfId="0" applyFont="1" applyFill="1" applyAlignment="1">
      <alignment horizontal="center" vertical="center" wrapText="1"/>
    </xf>
    <xf numFmtId="0" fontId="66" fillId="44" borderId="0" xfId="0" applyFont="1" applyFill="1" applyBorder="1" applyAlignment="1">
      <alignment horizontal="left" vertical="center" wrapText="1"/>
    </xf>
    <xf numFmtId="0" fontId="66" fillId="44" borderId="27" xfId="0" applyFont="1" applyFill="1" applyBorder="1" applyAlignment="1">
      <alignment horizontal="left" vertical="center" wrapText="1"/>
    </xf>
    <xf numFmtId="0" fontId="66" fillId="44" borderId="0" xfId="0" applyFont="1" applyFill="1" applyAlignment="1">
      <alignment horizontal="left" vertical="center" wrapText="1"/>
    </xf>
    <xf numFmtId="9" fontId="66" fillId="44" borderId="27" xfId="0" applyNumberFormat="1" applyFont="1" applyFill="1" applyBorder="1" applyAlignment="1">
      <alignment horizontal="left" vertical="center" wrapText="1"/>
    </xf>
    <xf numFmtId="0" fontId="68" fillId="44" borderId="0" xfId="0" applyFont="1" applyFill="1" applyAlignment="1">
      <alignment vertical="center" wrapText="1"/>
    </xf>
    <xf numFmtId="0" fontId="67" fillId="44" borderId="28" xfId="800" applyFont="1" applyFill="1" applyBorder="1" applyAlignment="1">
      <alignment vertical="center" wrapText="1"/>
    </xf>
    <xf numFmtId="0" fontId="67" fillId="44" borderId="27" xfId="800" applyFont="1" applyFill="1" applyBorder="1" applyAlignment="1">
      <alignment horizontal="center" vertical="center" wrapText="1"/>
    </xf>
    <xf numFmtId="14" fontId="67" fillId="44" borderId="27" xfId="800" applyNumberFormat="1" applyFont="1" applyFill="1" applyBorder="1" applyAlignment="1">
      <alignment horizontal="center" vertical="center" wrapText="1"/>
    </xf>
    <xf numFmtId="14" fontId="82" fillId="44" borderId="27" xfId="723" applyNumberFormat="1" applyFill="1" applyBorder="1" applyAlignment="1">
      <alignment horizontal="center" vertical="center" wrapText="1"/>
    </xf>
    <xf numFmtId="0" fontId="66" fillId="44" borderId="28" xfId="0" applyFont="1" applyFill="1" applyBorder="1" applyAlignment="1">
      <alignment horizontal="left" vertical="center" wrapText="1"/>
    </xf>
    <xf numFmtId="3" fontId="66" fillId="44" borderId="27" xfId="0" applyNumberFormat="1" applyFont="1" applyFill="1" applyBorder="1" applyAlignment="1">
      <alignment horizontal="left" vertical="center" wrapText="1"/>
    </xf>
    <xf numFmtId="0" fontId="88" fillId="45" borderId="29" xfId="0" applyFont="1" applyFill="1" applyBorder="1" applyAlignment="1">
      <alignment horizontal="center" vertical="center" wrapText="1"/>
    </xf>
    <xf numFmtId="0" fontId="88" fillId="45" borderId="30" xfId="0" applyFont="1" applyFill="1" applyBorder="1" applyAlignment="1">
      <alignment horizontal="center" vertical="center" wrapText="1"/>
    </xf>
    <xf numFmtId="0" fontId="88" fillId="45" borderId="31" xfId="0" applyFont="1" applyFill="1" applyBorder="1" applyAlignment="1">
      <alignment horizontal="center" vertical="center" wrapText="1"/>
    </xf>
    <xf numFmtId="0" fontId="67" fillId="39" borderId="28" xfId="753" applyFont="1" applyFill="1" applyBorder="1" applyAlignment="1">
      <alignment vertical="center"/>
    </xf>
    <xf numFmtId="0" fontId="67" fillId="39" borderId="27" xfId="753" applyFont="1" applyFill="1" applyBorder="1" applyAlignment="1">
      <alignment vertical="center"/>
    </xf>
    <xf numFmtId="0" fontId="67" fillId="0" borderId="27" xfId="753" applyFont="1" applyFill="1" applyBorder="1" applyAlignment="1">
      <alignment vertical="center"/>
    </xf>
    <xf numFmtId="0" fontId="67" fillId="44" borderId="28" xfId="800" applyFont="1" applyFill="1" applyBorder="1" applyAlignment="1">
      <alignment horizontal="center" vertical="center" wrapText="1"/>
    </xf>
    <xf numFmtId="199" fontId="66" fillId="44" borderId="27" xfId="344" applyNumberFormat="1" applyFont="1" applyFill="1" applyBorder="1" applyAlignment="1">
      <alignment vertical="center" wrapText="1"/>
    </xf>
    <xf numFmtId="199" fontId="66" fillId="44" borderId="27" xfId="344" applyNumberFormat="1" applyFont="1" applyFill="1" applyBorder="1" applyAlignment="1">
      <alignment horizontal="left" vertical="center" wrapText="1"/>
    </xf>
    <xf numFmtId="199" fontId="66" fillId="44" borderId="27" xfId="344" applyNumberFormat="1" applyFont="1" applyFill="1" applyBorder="1" applyAlignment="1">
      <alignment horizontal="right" vertical="center" wrapText="1"/>
    </xf>
    <xf numFmtId="10" fontId="66" fillId="44" borderId="27" xfId="0" applyNumberFormat="1" applyFont="1" applyFill="1" applyBorder="1" applyAlignment="1">
      <alignment horizontal="left" vertical="center" wrapText="1"/>
    </xf>
    <xf numFmtId="0" fontId="67" fillId="46" borderId="27" xfId="753" applyFont="1" applyFill="1" applyBorder="1" applyAlignment="1">
      <alignment vertical="center"/>
    </xf>
    <xf numFmtId="0" fontId="67" fillId="46" borderId="27" xfId="800" applyFont="1" applyFill="1" applyBorder="1" applyAlignment="1">
      <alignment horizontal="center" vertical="center" wrapText="1"/>
    </xf>
    <xf numFmtId="0" fontId="66" fillId="46" borderId="27" xfId="0" applyFont="1" applyFill="1" applyBorder="1" applyAlignment="1">
      <alignment horizontal="center" vertical="center" wrapText="1"/>
    </xf>
    <xf numFmtId="0" fontId="66" fillId="46" borderId="27" xfId="0" applyFont="1" applyFill="1" applyBorder="1" applyAlignment="1">
      <alignment horizontal="left" vertical="center" wrapText="1"/>
    </xf>
    <xf numFmtId="0" fontId="66" fillId="46" borderId="0" xfId="0" applyFont="1" applyFill="1" applyAlignment="1">
      <alignment vertical="center" wrapText="1"/>
    </xf>
    <xf numFmtId="0" fontId="67" fillId="44" borderId="27" xfId="753" applyFont="1" applyFill="1" applyBorder="1" applyAlignment="1">
      <alignment vertical="center"/>
    </xf>
    <xf numFmtId="0" fontId="0" fillId="0" borderId="32" xfId="0"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88" fillId="45" borderId="34" xfId="0" applyFont="1" applyFill="1" applyBorder="1" applyAlignment="1">
      <alignment horizontal="center" vertical="center" wrapText="1"/>
    </xf>
    <xf numFmtId="0" fontId="88" fillId="45" borderId="35" xfId="0" applyFont="1" applyFill="1" applyBorder="1" applyAlignment="1">
      <alignment horizontal="center" vertical="center" wrapText="1"/>
    </xf>
    <xf numFmtId="0" fontId="88" fillId="45" borderId="36" xfId="0" applyFont="1" applyFill="1" applyBorder="1" applyAlignment="1">
      <alignment horizontal="center" vertical="center" wrapText="1"/>
    </xf>
    <xf numFmtId="0" fontId="88" fillId="47" borderId="35" xfId="0" applyFont="1" applyFill="1" applyBorder="1" applyAlignment="1">
      <alignment horizontal="center" vertical="center" wrapText="1"/>
    </xf>
    <xf numFmtId="0" fontId="88" fillId="47" borderId="37" xfId="0" applyFont="1" applyFill="1" applyBorder="1" applyAlignment="1">
      <alignment horizontal="center" vertical="center" wrapText="1"/>
    </xf>
    <xf numFmtId="0" fontId="67" fillId="46" borderId="27" xfId="800" applyFont="1" applyFill="1" applyBorder="1" applyAlignment="1">
      <alignment vertical="center" wrapText="1"/>
    </xf>
    <xf numFmtId="0" fontId="88" fillId="47" borderId="33" xfId="0" applyFont="1" applyFill="1" applyBorder="1" applyAlignment="1">
      <alignment horizontal="center" vertical="center" wrapText="1"/>
    </xf>
    <xf numFmtId="0" fontId="88" fillId="47" borderId="38" xfId="0" applyFont="1" applyFill="1" applyBorder="1" applyAlignment="1">
      <alignment horizontal="center" vertical="center" wrapText="1"/>
    </xf>
    <xf numFmtId="0" fontId="66" fillId="44" borderId="39" xfId="0" applyFont="1" applyFill="1" applyBorder="1" applyAlignment="1">
      <alignment horizontal="left" vertical="center" wrapText="1"/>
    </xf>
    <xf numFmtId="0" fontId="66" fillId="44" borderId="40" xfId="0" applyFont="1" applyFill="1" applyBorder="1" applyAlignment="1">
      <alignment horizontal="left" vertical="center" wrapText="1"/>
    </xf>
    <xf numFmtId="0" fontId="66" fillId="44" borderId="41" xfId="0" applyFont="1" applyFill="1" applyBorder="1" applyAlignment="1">
      <alignment horizontal="left" vertical="center" wrapText="1"/>
    </xf>
    <xf numFmtId="0" fontId="66" fillId="44" borderId="39" xfId="0" applyFont="1" applyFill="1" applyBorder="1" applyAlignment="1">
      <alignment vertical="center" wrapText="1"/>
    </xf>
    <xf numFmtId="0" fontId="66" fillId="44" borderId="41" xfId="0" applyFont="1" applyFill="1" applyBorder="1" applyAlignment="1">
      <alignment vertical="center" wrapText="1"/>
    </xf>
    <xf numFmtId="0" fontId="66" fillId="44" borderId="40" xfId="0" applyFont="1" applyFill="1" applyBorder="1" applyAlignment="1">
      <alignment vertical="center" wrapText="1"/>
    </xf>
    <xf numFmtId="0" fontId="66" fillId="44" borderId="28" xfId="0" applyFont="1" applyFill="1" applyBorder="1" applyAlignment="1">
      <alignment vertical="center" wrapText="1"/>
    </xf>
    <xf numFmtId="0" fontId="66" fillId="44" borderId="42" xfId="0" applyFont="1" applyFill="1" applyBorder="1" applyAlignment="1">
      <alignment horizontal="left" vertical="center" wrapText="1"/>
    </xf>
    <xf numFmtId="0" fontId="66" fillId="44" borderId="43" xfId="0" applyFont="1" applyFill="1" applyBorder="1" applyAlignment="1">
      <alignment horizontal="left" vertical="center" wrapText="1"/>
    </xf>
    <xf numFmtId="0" fontId="66" fillId="44" borderId="44" xfId="0" applyFont="1" applyFill="1" applyBorder="1" applyAlignment="1">
      <alignment horizontal="left" vertical="center" wrapText="1"/>
    </xf>
    <xf numFmtId="0" fontId="66" fillId="44" borderId="42" xfId="0" applyFont="1" applyFill="1" applyBorder="1" applyAlignment="1">
      <alignment vertical="center" wrapText="1"/>
    </xf>
    <xf numFmtId="0" fontId="66" fillId="44" borderId="44" xfId="0" applyFont="1" applyFill="1" applyBorder="1" applyAlignment="1">
      <alignment vertical="center" wrapText="1"/>
    </xf>
    <xf numFmtId="0" fontId="66" fillId="44" borderId="43" xfId="0" applyFont="1" applyFill="1" applyBorder="1" applyAlignment="1">
      <alignment vertical="center" wrapText="1"/>
    </xf>
    <xf numFmtId="0" fontId="66" fillId="44" borderId="27" xfId="0" applyFont="1" applyFill="1" applyBorder="1" applyAlignment="1">
      <alignment vertical="center" wrapText="1"/>
    </xf>
    <xf numFmtId="9" fontId="69" fillId="44" borderId="42" xfId="0" applyNumberFormat="1" applyFont="1" applyFill="1" applyBorder="1" applyAlignment="1">
      <alignment horizontal="center" vertical="center" wrapText="1"/>
    </xf>
    <xf numFmtId="199" fontId="69" fillId="44" borderId="43" xfId="0" applyNumberFormat="1" applyFont="1" applyFill="1" applyBorder="1" applyAlignment="1">
      <alignment horizontal="center" vertical="center" wrapText="1"/>
    </xf>
    <xf numFmtId="0" fontId="69" fillId="44" borderId="42" xfId="0" applyFont="1" applyFill="1" applyBorder="1" applyAlignment="1">
      <alignment vertical="center" wrapText="1"/>
    </xf>
    <xf numFmtId="0" fontId="69" fillId="44" borderId="44" xfId="0" applyFont="1" applyFill="1" applyBorder="1" applyAlignment="1">
      <alignment horizontal="center" vertical="center" wrapText="1"/>
    </xf>
    <xf numFmtId="199" fontId="69" fillId="44" borderId="42" xfId="0" applyNumberFormat="1" applyFont="1" applyFill="1" applyBorder="1" applyAlignment="1">
      <alignment horizontal="center" vertical="center" wrapText="1"/>
    </xf>
    <xf numFmtId="199" fontId="69" fillId="44" borderId="44" xfId="0" applyNumberFormat="1" applyFont="1" applyFill="1" applyBorder="1" applyAlignment="1">
      <alignment horizontal="center" vertical="center" wrapText="1"/>
    </xf>
    <xf numFmtId="0" fontId="66" fillId="46" borderId="43" xfId="0" applyFont="1" applyFill="1" applyBorder="1" applyAlignment="1">
      <alignment horizontal="left" vertical="center" wrapText="1"/>
    </xf>
    <xf numFmtId="0" fontId="66" fillId="46" borderId="44" xfId="0" applyFont="1" applyFill="1" applyBorder="1" applyAlignment="1">
      <alignment horizontal="left" vertical="center" wrapText="1"/>
    </xf>
    <xf numFmtId="0" fontId="66" fillId="46" borderId="27" xfId="0" applyFont="1" applyFill="1" applyBorder="1" applyAlignment="1">
      <alignment vertical="center" wrapText="1"/>
    </xf>
    <xf numFmtId="43" fontId="79" fillId="0" borderId="0" xfId="344" applyFont="1"/>
    <xf numFmtId="43" fontId="0" fillId="0" borderId="0" xfId="0" applyNumberFormat="1"/>
    <xf numFmtId="10" fontId="79" fillId="0" borderId="0" xfId="1104" applyNumberFormat="1" applyFont="1"/>
    <xf numFmtId="0" fontId="66" fillId="44" borderId="43" xfId="0" applyFont="1" applyFill="1" applyBorder="1" applyAlignment="1">
      <alignment horizontal="center" vertical="center" wrapText="1"/>
    </xf>
    <xf numFmtId="0" fontId="66" fillId="48" borderId="27" xfId="0" applyFont="1" applyFill="1" applyBorder="1" applyAlignment="1">
      <alignment vertical="center" wrapText="1"/>
    </xf>
    <xf numFmtId="199" fontId="66" fillId="49" borderId="27" xfId="344" applyNumberFormat="1" applyFont="1" applyFill="1" applyBorder="1" applyAlignment="1">
      <alignment vertical="center" wrapText="1"/>
    </xf>
    <xf numFmtId="199" fontId="69" fillId="44" borderId="43" xfId="344" applyNumberFormat="1" applyFont="1" applyFill="1" applyBorder="1" applyAlignment="1">
      <alignment horizontal="center" vertical="center" wrapText="1"/>
    </xf>
    <xf numFmtId="199" fontId="69" fillId="44" borderId="42" xfId="344" applyNumberFormat="1" applyFont="1" applyFill="1" applyBorder="1" applyAlignment="1">
      <alignment horizontal="center" vertical="center" wrapText="1"/>
    </xf>
    <xf numFmtId="199" fontId="69" fillId="44" borderId="44" xfId="344" applyNumberFormat="1" applyFont="1" applyFill="1" applyBorder="1" applyAlignment="1">
      <alignment horizontal="center" vertical="center" wrapText="1"/>
    </xf>
    <xf numFmtId="0" fontId="0" fillId="0" borderId="32" xfId="0" applyBorder="1" applyAlignment="1">
      <alignment horizontal="left" vertical="center" wrapText="1"/>
    </xf>
    <xf numFmtId="0" fontId="80" fillId="45" borderId="32" xfId="0" applyFont="1" applyFill="1" applyBorder="1" applyAlignment="1"/>
    <xf numFmtId="0" fontId="80" fillId="45" borderId="0" xfId="0" applyFont="1" applyFill="1" applyBorder="1" applyAlignment="1"/>
    <xf numFmtId="0" fontId="0" fillId="0" borderId="45" xfId="0" applyBorder="1" applyAlignment="1">
      <alignment vertical="center"/>
    </xf>
    <xf numFmtId="0" fontId="0" fillId="0" borderId="38" xfId="0" applyBorder="1" applyAlignment="1">
      <alignment vertical="center"/>
    </xf>
    <xf numFmtId="43" fontId="0" fillId="0" borderId="0" xfId="0" applyNumberFormat="1" applyAlignment="1">
      <alignment horizontal="center"/>
    </xf>
    <xf numFmtId="198" fontId="0" fillId="0" borderId="0" xfId="0" applyNumberFormat="1" applyAlignment="1">
      <alignment horizontal="center"/>
    </xf>
    <xf numFmtId="0" fontId="0" fillId="0" borderId="0" xfId="0" applyAlignment="1">
      <alignment horizontal="right"/>
    </xf>
    <xf numFmtId="0" fontId="67" fillId="44" borderId="27" xfId="0" applyFont="1" applyFill="1" applyBorder="1" applyAlignment="1">
      <alignment horizontal="left" vertical="center" wrapText="1"/>
    </xf>
    <xf numFmtId="0" fontId="67" fillId="44" borderId="0" xfId="0" applyFont="1" applyFill="1" applyAlignment="1">
      <alignment vertical="center" wrapText="1"/>
    </xf>
    <xf numFmtId="0" fontId="89" fillId="44" borderId="0" xfId="0" applyFont="1" applyFill="1" applyBorder="1" applyAlignment="1">
      <alignment horizontal="center" vertical="center" wrapText="1"/>
    </xf>
    <xf numFmtId="0" fontId="66" fillId="0" borderId="0" xfId="0" applyFont="1" applyFill="1" applyAlignment="1">
      <alignment vertical="center" wrapText="1"/>
    </xf>
    <xf numFmtId="0" fontId="68" fillId="0" borderId="0" xfId="0" applyFont="1" applyFill="1" applyAlignment="1">
      <alignment vertical="center" wrapText="1"/>
    </xf>
    <xf numFmtId="0" fontId="66" fillId="0" borderId="0" xfId="0" applyFont="1" applyFill="1" applyBorder="1" applyAlignment="1">
      <alignment vertical="center" wrapText="1"/>
    </xf>
    <xf numFmtId="0" fontId="90" fillId="0" borderId="0" xfId="0" applyFont="1" applyFill="1"/>
    <xf numFmtId="0" fontId="73" fillId="0" borderId="23" xfId="0" applyFont="1" applyFill="1" applyBorder="1" applyAlignment="1">
      <alignment horizontal="left" vertical="top"/>
    </xf>
    <xf numFmtId="0" fontId="73" fillId="0" borderId="0" xfId="0" applyFont="1" applyFill="1" applyBorder="1" applyAlignment="1">
      <alignment horizontal="left" vertical="top"/>
    </xf>
    <xf numFmtId="0" fontId="91" fillId="0" borderId="0" xfId="0" applyFont="1" applyFill="1"/>
    <xf numFmtId="0" fontId="75" fillId="0" borderId="23" xfId="0" applyFont="1" applyFill="1" applyBorder="1" applyAlignment="1">
      <alignment horizontal="left" vertical="top"/>
    </xf>
    <xf numFmtId="0" fontId="75" fillId="0" borderId="0" xfId="0" applyFont="1" applyFill="1" applyBorder="1" applyAlignment="1">
      <alignment horizontal="left" vertical="top"/>
    </xf>
    <xf numFmtId="200" fontId="76" fillId="34" borderId="23" xfId="0" applyNumberFormat="1" applyFont="1" applyFill="1" applyBorder="1" applyAlignment="1">
      <alignment horizontal="right" vertical="top"/>
    </xf>
    <xf numFmtId="0" fontId="74" fillId="20" borderId="23" xfId="0" applyFont="1" applyFill="1" applyBorder="1" applyAlignment="1">
      <alignment horizontal="left" vertical="top"/>
    </xf>
    <xf numFmtId="0" fontId="75" fillId="40" borderId="23" xfId="0" applyFont="1" applyFill="1" applyBorder="1" applyAlignment="1">
      <alignment horizontal="left" vertical="top"/>
    </xf>
    <xf numFmtId="3" fontId="66" fillId="44" borderId="43" xfId="0" applyNumberFormat="1" applyFont="1" applyFill="1" applyBorder="1" applyAlignment="1">
      <alignment horizontal="left" vertical="center" wrapText="1"/>
    </xf>
    <xf numFmtId="3" fontId="66" fillId="46" borderId="43" xfId="0" applyNumberFormat="1" applyFont="1" applyFill="1" applyBorder="1" applyAlignment="1">
      <alignment horizontal="left" vertical="center" wrapText="1"/>
    </xf>
    <xf numFmtId="3" fontId="66" fillId="44" borderId="43" xfId="0" applyNumberFormat="1" applyFont="1" applyFill="1" applyBorder="1" applyAlignment="1">
      <alignment horizontal="center" vertical="center" wrapText="1"/>
    </xf>
    <xf numFmtId="3" fontId="66" fillId="44" borderId="43" xfId="0" applyNumberFormat="1" applyFont="1" applyFill="1" applyBorder="1" applyAlignment="1">
      <alignment vertical="center" wrapText="1"/>
    </xf>
    <xf numFmtId="0" fontId="91" fillId="0" borderId="0" xfId="0" applyFont="1"/>
    <xf numFmtId="0" fontId="66" fillId="0" borderId="0" xfId="0" applyFont="1"/>
    <xf numFmtId="0" fontId="67" fillId="39" borderId="24" xfId="753" applyFont="1" applyFill="1" applyBorder="1" applyAlignment="1">
      <alignment horizontal="left" vertical="center"/>
    </xf>
    <xf numFmtId="0" fontId="70" fillId="41" borderId="24" xfId="753" applyFont="1" applyFill="1" applyBorder="1" applyAlignment="1">
      <alignment vertical="center" wrapText="1"/>
    </xf>
    <xf numFmtId="0" fontId="67" fillId="39" borderId="24" xfId="883" applyFont="1" applyFill="1" applyBorder="1" applyAlignment="1">
      <alignment vertical="center"/>
    </xf>
    <xf numFmtId="0" fontId="70" fillId="41" borderId="24" xfId="0" applyFont="1" applyFill="1" applyBorder="1" applyAlignment="1">
      <alignment horizontal="center"/>
    </xf>
    <xf numFmtId="0" fontId="67" fillId="39" borderId="24" xfId="753" applyFont="1" applyFill="1" applyBorder="1" applyAlignment="1">
      <alignment vertical="center"/>
    </xf>
    <xf numFmtId="0" fontId="67" fillId="39" borderId="4" xfId="753" applyFont="1" applyFill="1" applyBorder="1" applyAlignment="1">
      <alignment horizontal="left" vertical="center"/>
    </xf>
    <xf numFmtId="0" fontId="70" fillId="50" borderId="24" xfId="753" applyFont="1" applyFill="1" applyBorder="1" applyAlignment="1">
      <alignment vertical="center" wrapText="1"/>
    </xf>
    <xf numFmtId="0" fontId="67" fillId="0" borderId="24" xfId="753" applyFont="1" applyFill="1" applyBorder="1" applyAlignment="1">
      <alignment horizontal="left" vertical="center"/>
    </xf>
    <xf numFmtId="0" fontId="67" fillId="51" borderId="4" xfId="753" applyFont="1" applyFill="1" applyBorder="1" applyAlignment="1">
      <alignment horizontal="left" vertical="center"/>
    </xf>
    <xf numFmtId="0" fontId="66" fillId="51" borderId="24" xfId="0" applyFont="1" applyFill="1" applyBorder="1"/>
    <xf numFmtId="0" fontId="71" fillId="0" borderId="0" xfId="0" applyFont="1"/>
    <xf numFmtId="0" fontId="69" fillId="0" borderId="0" xfId="0" applyFont="1"/>
    <xf numFmtId="0" fontId="67" fillId="0" borderId="4" xfId="753" applyFont="1" applyFill="1" applyBorder="1" applyAlignment="1">
      <alignment horizontal="left" vertical="center"/>
    </xf>
    <xf numFmtId="0" fontId="67" fillId="0" borderId="4" xfId="753" applyFont="1" applyFill="1" applyBorder="1" applyAlignment="1">
      <alignment vertical="center"/>
    </xf>
    <xf numFmtId="0" fontId="67" fillId="44" borderId="24" xfId="753" applyFont="1" applyFill="1" applyBorder="1" applyAlignment="1">
      <alignment horizontal="left" vertical="center"/>
    </xf>
    <xf numFmtId="0" fontId="72" fillId="0" borderId="24" xfId="0" applyFont="1" applyBorder="1"/>
    <xf numFmtId="0" fontId="84" fillId="39" borderId="24" xfId="753" applyFont="1" applyFill="1" applyBorder="1" applyAlignment="1">
      <alignment horizontal="left" vertical="center"/>
    </xf>
    <xf numFmtId="3" fontId="82" fillId="44" borderId="24" xfId="0" applyNumberFormat="1" applyFont="1" applyFill="1" applyBorder="1" applyAlignment="1">
      <alignment vertical="center"/>
    </xf>
    <xf numFmtId="0" fontId="67" fillId="49" borderId="24" xfId="753" applyFont="1" applyFill="1" applyBorder="1" applyAlignment="1">
      <alignment horizontal="left" vertical="center"/>
    </xf>
    <xf numFmtId="0" fontId="67" fillId="39" borderId="4" xfId="753" applyFont="1" applyFill="1" applyBorder="1" applyAlignment="1">
      <alignment horizontal="left" vertical="center" wrapText="1"/>
    </xf>
    <xf numFmtId="0" fontId="67" fillId="46" borderId="24" xfId="753" applyFont="1" applyFill="1" applyBorder="1" applyAlignment="1">
      <alignment horizontal="left" vertical="center"/>
    </xf>
    <xf numFmtId="0" fontId="69" fillId="44" borderId="43" xfId="0" applyFont="1" applyFill="1" applyBorder="1" applyAlignment="1">
      <alignment horizontal="left" vertical="center" wrapText="1"/>
    </xf>
    <xf numFmtId="199" fontId="69" fillId="44" borderId="44" xfId="344" applyNumberFormat="1" applyFont="1" applyFill="1" applyBorder="1" applyAlignment="1">
      <alignment vertical="center" wrapText="1"/>
    </xf>
    <xf numFmtId="10" fontId="0" fillId="0" borderId="0" xfId="0" applyNumberFormat="1"/>
    <xf numFmtId="199" fontId="66" fillId="44" borderId="43" xfId="0" applyNumberFormat="1" applyFont="1" applyFill="1" applyBorder="1" applyAlignment="1">
      <alignment horizontal="center" vertical="center" wrapText="1"/>
    </xf>
    <xf numFmtId="9" fontId="66" fillId="44" borderId="27" xfId="0" applyNumberFormat="1" applyFont="1" applyFill="1" applyBorder="1" applyAlignment="1">
      <alignment horizontal="center" vertical="center" wrapText="1"/>
    </xf>
    <xf numFmtId="199" fontId="66" fillId="44" borderId="44" xfId="0" applyNumberFormat="1" applyFont="1" applyFill="1" applyBorder="1" applyAlignment="1">
      <alignment vertical="center" wrapText="1"/>
    </xf>
    <xf numFmtId="199" fontId="66" fillId="44" borderId="42" xfId="0" applyNumberFormat="1" applyFont="1" applyFill="1" applyBorder="1" applyAlignment="1">
      <alignment horizontal="center" vertical="center" wrapText="1"/>
    </xf>
    <xf numFmtId="199" fontId="66" fillId="44" borderId="44" xfId="0" applyNumberFormat="1" applyFont="1" applyFill="1" applyBorder="1" applyAlignment="1">
      <alignment horizontal="center" vertical="center" wrapText="1"/>
    </xf>
    <xf numFmtId="199" fontId="66" fillId="49" borderId="27" xfId="344" applyNumberFormat="1" applyFont="1" applyFill="1" applyBorder="1" applyAlignment="1">
      <alignment horizontal="right" vertical="center" wrapText="1"/>
    </xf>
    <xf numFmtId="199" fontId="66" fillId="44" borderId="27" xfId="344" applyNumberFormat="1" applyFont="1" applyFill="1" applyBorder="1" applyAlignment="1">
      <alignment horizontal="center" vertical="center" wrapText="1"/>
    </xf>
    <xf numFmtId="3" fontId="66" fillId="44" borderId="27" xfId="0" applyNumberFormat="1" applyFont="1" applyFill="1" applyBorder="1" applyAlignment="1">
      <alignment vertical="center" wrapText="1"/>
    </xf>
    <xf numFmtId="201" fontId="69" fillId="44" borderId="42" xfId="0" applyNumberFormat="1" applyFont="1" applyFill="1" applyBorder="1" applyAlignment="1">
      <alignment horizontal="center" vertical="center" wrapText="1"/>
    </xf>
    <xf numFmtId="199" fontId="66" fillId="44" borderId="0" xfId="0" applyNumberFormat="1" applyFont="1" applyFill="1" applyAlignment="1">
      <alignment vertical="center" wrapText="1"/>
    </xf>
    <xf numFmtId="3" fontId="66" fillId="0" borderId="43" xfId="0" applyNumberFormat="1" applyFont="1" applyFill="1" applyBorder="1" applyAlignment="1">
      <alignment horizontal="left" vertical="center" wrapText="1"/>
    </xf>
    <xf numFmtId="3" fontId="66" fillId="0" borderId="43" xfId="0" applyNumberFormat="1" applyFont="1" applyFill="1" applyBorder="1" applyAlignment="1">
      <alignment horizontal="center" vertical="center" wrapText="1"/>
    </xf>
    <xf numFmtId="0" fontId="66" fillId="0" borderId="43" xfId="0" applyFont="1" applyFill="1" applyBorder="1" applyAlignment="1">
      <alignment horizontal="left" vertical="center" wrapText="1"/>
    </xf>
    <xf numFmtId="9" fontId="69" fillId="0" borderId="42" xfId="0" applyNumberFormat="1" applyFont="1" applyFill="1" applyBorder="1" applyAlignment="1">
      <alignment horizontal="center" vertical="center" wrapText="1"/>
    </xf>
    <xf numFmtId="199" fontId="69" fillId="0" borderId="43" xfId="0" applyNumberFormat="1" applyFont="1" applyFill="1" applyBorder="1" applyAlignment="1">
      <alignment horizontal="center" vertical="center" wrapText="1"/>
    </xf>
    <xf numFmtId="0" fontId="67" fillId="44" borderId="27" xfId="0" applyFont="1" applyFill="1" applyBorder="1" applyAlignment="1">
      <alignment horizontal="center" vertical="center" wrapText="1"/>
    </xf>
    <xf numFmtId="14" fontId="67" fillId="44" borderId="46" xfId="800" applyNumberFormat="1" applyFont="1" applyFill="1" applyBorder="1" applyAlignment="1">
      <alignment horizontal="center" vertical="center" wrapText="1"/>
    </xf>
    <xf numFmtId="0" fontId="66" fillId="44" borderId="46" xfId="0" applyFont="1" applyFill="1" applyBorder="1" applyAlignment="1">
      <alignment horizontal="left" vertical="center" wrapText="1"/>
    </xf>
    <xf numFmtId="0" fontId="0" fillId="0" borderId="0" xfId="0" applyAlignment="1">
      <alignment horizontal="center"/>
    </xf>
    <xf numFmtId="198" fontId="0" fillId="0" borderId="0" xfId="0" applyNumberFormat="1"/>
    <xf numFmtId="0" fontId="67" fillId="0" borderId="27" xfId="800" applyFont="1" applyFill="1" applyBorder="1" applyAlignment="1">
      <alignment vertical="center" wrapText="1"/>
    </xf>
    <xf numFmtId="14" fontId="67" fillId="0" borderId="27" xfId="800" applyNumberFormat="1" applyFont="1" applyFill="1" applyBorder="1" applyAlignment="1">
      <alignment horizontal="center" vertical="center" wrapText="1"/>
    </xf>
    <xf numFmtId="0" fontId="66" fillId="0" borderId="27" xfId="0" applyFont="1" applyFill="1" applyBorder="1" applyAlignment="1">
      <alignment horizontal="center" vertical="center" wrapText="1"/>
    </xf>
    <xf numFmtId="0" fontId="66" fillId="0" borderId="27" xfId="0" applyFont="1" applyFill="1" applyBorder="1" applyAlignment="1">
      <alignment horizontal="left" vertical="center" wrapText="1"/>
    </xf>
    <xf numFmtId="199" fontId="66" fillId="0" borderId="27" xfId="344" applyNumberFormat="1" applyFont="1" applyFill="1" applyBorder="1" applyAlignment="1">
      <alignment vertical="center" wrapText="1"/>
    </xf>
    <xf numFmtId="0" fontId="66" fillId="0" borderId="47" xfId="0" applyFont="1" applyFill="1" applyBorder="1" applyAlignment="1">
      <alignment vertical="center" wrapText="1"/>
    </xf>
    <xf numFmtId="0" fontId="66" fillId="0" borderId="42" xfId="0" applyFont="1" applyFill="1" applyBorder="1" applyAlignment="1">
      <alignment horizontal="left" vertical="center" wrapText="1"/>
    </xf>
    <xf numFmtId="0" fontId="66" fillId="0" borderId="44" xfId="0" applyFont="1" applyFill="1" applyBorder="1" applyAlignment="1">
      <alignment horizontal="left" vertical="center" wrapText="1"/>
    </xf>
    <xf numFmtId="0" fontId="66" fillId="0" borderId="42" xfId="0" applyFont="1" applyFill="1" applyBorder="1" applyAlignment="1">
      <alignment vertical="center" wrapText="1"/>
    </xf>
    <xf numFmtId="199" fontId="69" fillId="0" borderId="42" xfId="0" applyNumberFormat="1" applyFont="1" applyFill="1" applyBorder="1" applyAlignment="1">
      <alignment horizontal="center" vertical="center" wrapText="1"/>
    </xf>
    <xf numFmtId="199" fontId="69" fillId="0" borderId="44" xfId="0" applyNumberFormat="1" applyFont="1" applyFill="1" applyBorder="1" applyAlignment="1">
      <alignment horizontal="center" vertical="center" wrapText="1"/>
    </xf>
    <xf numFmtId="199" fontId="66" fillId="0" borderId="27" xfId="344" applyNumberFormat="1" applyFont="1" applyFill="1" applyBorder="1" applyAlignment="1">
      <alignment horizontal="center" vertical="center" wrapText="1"/>
    </xf>
    <xf numFmtId="0" fontId="66" fillId="0" borderId="44" xfId="0" applyFont="1" applyFill="1" applyBorder="1" applyAlignment="1">
      <alignment vertical="center" wrapText="1"/>
    </xf>
    <xf numFmtId="0" fontId="66" fillId="0" borderId="43" xfId="0" applyFont="1" applyFill="1" applyBorder="1" applyAlignment="1">
      <alignment vertical="center" wrapText="1"/>
    </xf>
    <xf numFmtId="199" fontId="66" fillId="44" borderId="27" xfId="0" applyNumberFormat="1" applyFont="1" applyFill="1" applyBorder="1" applyAlignment="1">
      <alignment horizontal="left" vertical="center" wrapText="1"/>
    </xf>
    <xf numFmtId="0" fontId="88" fillId="45" borderId="48" xfId="0" applyFont="1" applyFill="1" applyBorder="1" applyAlignment="1">
      <alignment horizontal="center" vertical="center" wrapText="1"/>
    </xf>
    <xf numFmtId="199" fontId="66" fillId="44" borderId="43" xfId="0" applyNumberFormat="1" applyFont="1" applyFill="1" applyBorder="1" applyAlignment="1">
      <alignment horizontal="left" vertical="center" wrapText="1"/>
    </xf>
    <xf numFmtId="43" fontId="66" fillId="44" borderId="21" xfId="344" applyFont="1" applyFill="1" applyBorder="1" applyAlignment="1">
      <alignment vertical="center" wrapText="1"/>
    </xf>
    <xf numFmtId="0" fontId="0" fillId="0" borderId="45" xfId="0" applyBorder="1" applyAlignment="1">
      <alignment vertical="center" wrapText="1"/>
    </xf>
    <xf numFmtId="0" fontId="66" fillId="44" borderId="49" xfId="0" applyFont="1" applyFill="1" applyBorder="1" applyAlignment="1">
      <alignment horizontal="center" vertical="center" wrapText="1"/>
    </xf>
    <xf numFmtId="0" fontId="66" fillId="44" borderId="47" xfId="0" applyFont="1" applyFill="1" applyBorder="1" applyAlignment="1">
      <alignment horizontal="center" vertical="center" wrapText="1"/>
    </xf>
    <xf numFmtId="0" fontId="88" fillId="45" borderId="48" xfId="0" applyFont="1" applyFill="1" applyBorder="1" applyAlignment="1">
      <alignment horizontal="center" vertical="center" wrapText="1"/>
    </xf>
    <xf numFmtId="0" fontId="66" fillId="0" borderId="27" xfId="0" applyFont="1" applyFill="1" applyBorder="1" applyAlignment="1">
      <alignment vertical="center" wrapText="1"/>
    </xf>
    <xf numFmtId="0" fontId="67" fillId="0" borderId="27" xfId="800" applyFont="1" applyFill="1" applyBorder="1" applyAlignment="1">
      <alignment horizontal="center" vertical="center" wrapText="1"/>
    </xf>
    <xf numFmtId="9" fontId="66" fillId="0" borderId="27" xfId="0" applyNumberFormat="1" applyFont="1" applyFill="1" applyBorder="1" applyAlignment="1">
      <alignment horizontal="center" vertical="center" wrapText="1"/>
    </xf>
    <xf numFmtId="199" fontId="66" fillId="0" borderId="44" xfId="0" applyNumberFormat="1" applyFont="1" applyFill="1" applyBorder="1" applyAlignment="1">
      <alignment vertical="center" wrapText="1"/>
    </xf>
    <xf numFmtId="0" fontId="67" fillId="0" borderId="27" xfId="800" applyNumberFormat="1" applyFont="1" applyFill="1" applyBorder="1" applyAlignment="1">
      <alignment vertical="center" wrapText="1"/>
    </xf>
    <xf numFmtId="9" fontId="66" fillId="0" borderId="27" xfId="0" applyNumberFormat="1" applyFont="1" applyFill="1" applyBorder="1" applyAlignment="1">
      <alignment horizontal="left" vertical="center" wrapText="1"/>
    </xf>
    <xf numFmtId="9" fontId="66" fillId="0" borderId="42" xfId="0" applyNumberFormat="1" applyFont="1" applyFill="1" applyBorder="1" applyAlignment="1">
      <alignment horizontal="center" vertical="center" wrapText="1"/>
    </xf>
    <xf numFmtId="199" fontId="66" fillId="0" borderId="43" xfId="0" applyNumberFormat="1" applyFont="1" applyFill="1" applyBorder="1" applyAlignment="1">
      <alignment horizontal="center" vertical="center" wrapText="1"/>
    </xf>
    <xf numFmtId="199" fontId="66" fillId="0" borderId="44" xfId="344" applyNumberFormat="1" applyFont="1" applyFill="1" applyBorder="1" applyAlignment="1">
      <alignment vertical="center" wrapText="1"/>
    </xf>
    <xf numFmtId="199" fontId="66" fillId="0" borderId="42" xfId="0" applyNumberFormat="1" applyFont="1" applyFill="1" applyBorder="1" applyAlignment="1">
      <alignment vertical="center" wrapText="1"/>
    </xf>
    <xf numFmtId="199" fontId="66" fillId="0" borderId="42" xfId="0" applyNumberFormat="1" applyFont="1" applyFill="1" applyBorder="1" applyAlignment="1">
      <alignment horizontal="center" vertical="center" wrapText="1"/>
    </xf>
    <xf numFmtId="199" fontId="66" fillId="0" borderId="44" xfId="0" applyNumberFormat="1" applyFont="1" applyFill="1" applyBorder="1" applyAlignment="1">
      <alignment horizontal="center" vertical="center" wrapText="1"/>
    </xf>
    <xf numFmtId="0" fontId="66" fillId="0" borderId="21" xfId="0" applyFont="1" applyFill="1" applyBorder="1" applyAlignment="1">
      <alignment vertical="center" wrapText="1"/>
    </xf>
    <xf numFmtId="0" fontId="66" fillId="0" borderId="0" xfId="0" applyFont="1" applyFill="1" applyAlignment="1">
      <alignment horizontal="center" vertical="center" wrapText="1"/>
    </xf>
    <xf numFmtId="0" fontId="66" fillId="0" borderId="0" xfId="0" applyFont="1" applyFill="1" applyAlignment="1">
      <alignment horizontal="left" vertical="center" wrapText="1"/>
    </xf>
    <xf numFmtId="0" fontId="67" fillId="0" borderId="27" xfId="800" applyNumberFormat="1" applyFont="1" applyFill="1" applyBorder="1" applyAlignment="1">
      <alignment horizontal="left" vertical="center" wrapText="1"/>
    </xf>
    <xf numFmtId="199" fontId="69" fillId="0" borderId="42" xfId="0" applyNumberFormat="1" applyFont="1" applyFill="1" applyBorder="1" applyAlignment="1">
      <alignment vertical="center" wrapText="1"/>
    </xf>
    <xf numFmtId="199" fontId="69" fillId="0" borderId="44" xfId="0" applyNumberFormat="1" applyFont="1" applyFill="1" applyBorder="1" applyAlignment="1">
      <alignment vertical="center" wrapText="1"/>
    </xf>
    <xf numFmtId="0" fontId="69" fillId="0" borderId="27" xfId="0" applyFont="1" applyFill="1" applyBorder="1" applyAlignment="1">
      <alignment vertical="center" wrapText="1"/>
    </xf>
    <xf numFmtId="0" fontId="66" fillId="44" borderId="49" xfId="0" applyFont="1" applyFill="1" applyBorder="1" applyAlignment="1">
      <alignment vertical="center" wrapText="1"/>
    </xf>
    <xf numFmtId="3" fontId="66" fillId="46" borderId="27" xfId="0" applyNumberFormat="1" applyFont="1" applyFill="1" applyBorder="1" applyAlignment="1">
      <alignment vertical="center" wrapText="1"/>
    </xf>
    <xf numFmtId="199" fontId="66" fillId="46" borderId="0" xfId="0" applyNumberFormat="1" applyFont="1" applyFill="1" applyAlignment="1">
      <alignment vertical="center" wrapText="1"/>
    </xf>
    <xf numFmtId="202" fontId="66" fillId="44" borderId="27" xfId="344" applyNumberFormat="1" applyFont="1" applyFill="1" applyBorder="1" applyAlignment="1">
      <alignment vertical="center" wrapText="1"/>
    </xf>
    <xf numFmtId="202" fontId="66" fillId="46" borderId="27" xfId="344" applyNumberFormat="1" applyFont="1" applyFill="1" applyBorder="1" applyAlignment="1">
      <alignment vertical="center" wrapText="1"/>
    </xf>
    <xf numFmtId="9" fontId="66" fillId="46" borderId="27" xfId="0" applyNumberFormat="1" applyFont="1" applyFill="1" applyBorder="1" applyAlignment="1">
      <alignment horizontal="left" vertical="center" wrapText="1"/>
    </xf>
    <xf numFmtId="9" fontId="69" fillId="46" borderId="42" xfId="0" applyNumberFormat="1" applyFont="1" applyFill="1" applyBorder="1" applyAlignment="1">
      <alignment horizontal="center" vertical="center" wrapText="1"/>
    </xf>
    <xf numFmtId="3" fontId="66" fillId="46" borderId="43" xfId="0" applyNumberFormat="1" applyFont="1" applyFill="1" applyBorder="1" applyAlignment="1">
      <alignment horizontal="center" vertical="center" wrapText="1"/>
    </xf>
    <xf numFmtId="199" fontId="66" fillId="46" borderId="43" xfId="0" applyNumberFormat="1" applyFont="1" applyFill="1" applyBorder="1" applyAlignment="1">
      <alignment horizontal="left" vertical="center" wrapText="1"/>
    </xf>
    <xf numFmtId="199" fontId="69" fillId="46" borderId="43" xfId="0" applyNumberFormat="1" applyFont="1" applyFill="1" applyBorder="1" applyAlignment="1">
      <alignment horizontal="center" vertical="center" wrapText="1"/>
    </xf>
    <xf numFmtId="199" fontId="69" fillId="46" borderId="43" xfId="344" applyNumberFormat="1" applyFont="1" applyFill="1" applyBorder="1" applyAlignment="1">
      <alignment horizontal="center" vertical="center" wrapText="1"/>
    </xf>
    <xf numFmtId="199" fontId="69" fillId="46" borderId="42" xfId="0" applyNumberFormat="1" applyFont="1" applyFill="1" applyBorder="1" applyAlignment="1">
      <alignment horizontal="center" vertical="center" wrapText="1"/>
    </xf>
    <xf numFmtId="199" fontId="69" fillId="46" borderId="44" xfId="0" applyNumberFormat="1" applyFont="1" applyFill="1" applyBorder="1" applyAlignment="1">
      <alignment horizontal="center" vertical="center" wrapText="1"/>
    </xf>
    <xf numFmtId="49" fontId="67" fillId="44" borderId="27" xfId="800" applyNumberFormat="1" applyFont="1" applyFill="1" applyBorder="1" applyAlignment="1">
      <alignment vertical="center" wrapText="1"/>
    </xf>
    <xf numFmtId="199" fontId="66" fillId="44" borderId="42" xfId="0" applyNumberFormat="1" applyFont="1" applyFill="1" applyBorder="1" applyAlignment="1">
      <alignment vertical="center" wrapText="1"/>
    </xf>
    <xf numFmtId="0" fontId="84" fillId="0" borderId="27" xfId="800" applyFont="1" applyFill="1" applyBorder="1" applyAlignment="1">
      <alignment vertical="center" wrapText="1"/>
    </xf>
    <xf numFmtId="0" fontId="67" fillId="0" borderId="46" xfId="800" applyFont="1" applyFill="1" applyBorder="1" applyAlignment="1">
      <alignment vertical="center" wrapText="1"/>
    </xf>
    <xf numFmtId="203" fontId="66" fillId="44" borderId="27" xfId="344" applyNumberFormat="1" applyFont="1" applyFill="1" applyBorder="1" applyAlignment="1">
      <alignment vertical="center" wrapText="1"/>
    </xf>
    <xf numFmtId="203" fontId="66" fillId="46" borderId="27" xfId="0" applyNumberFormat="1" applyFont="1" applyFill="1" applyBorder="1" applyAlignment="1">
      <alignment horizontal="left" vertical="center" wrapText="1"/>
    </xf>
    <xf numFmtId="203" fontId="66" fillId="44" borderId="27" xfId="0" applyNumberFormat="1" applyFont="1" applyFill="1" applyBorder="1" applyAlignment="1">
      <alignment horizontal="left" vertical="center" wrapText="1"/>
    </xf>
    <xf numFmtId="203" fontId="66" fillId="49" borderId="27" xfId="344" applyNumberFormat="1" applyFont="1" applyFill="1" applyBorder="1" applyAlignment="1">
      <alignment vertical="center" wrapText="1"/>
    </xf>
    <xf numFmtId="203" fontId="66" fillId="0" borderId="27" xfId="344" applyNumberFormat="1" applyFont="1" applyFill="1" applyBorder="1" applyAlignment="1">
      <alignment vertical="center" wrapText="1"/>
    </xf>
    <xf numFmtId="203" fontId="66" fillId="44" borderId="27" xfId="344" applyNumberFormat="1" applyFont="1" applyFill="1" applyBorder="1" applyAlignment="1">
      <alignment horizontal="center" vertical="center" wrapText="1"/>
    </xf>
    <xf numFmtId="0" fontId="67" fillId="44" borderId="27" xfId="800" applyFont="1" applyFill="1" applyBorder="1" applyAlignment="1">
      <alignment vertical="center" wrapText="1"/>
    </xf>
    <xf numFmtId="199" fontId="66" fillId="44" borderId="27" xfId="0" applyNumberFormat="1" applyFont="1" applyFill="1" applyBorder="1" applyAlignment="1">
      <alignment horizontal="center" vertical="center" wrapText="1"/>
    </xf>
    <xf numFmtId="0" fontId="66" fillId="0" borderId="49" xfId="0" applyFont="1" applyFill="1" applyBorder="1" applyAlignment="1">
      <alignment horizontal="left" vertical="center" wrapText="1"/>
    </xf>
    <xf numFmtId="0" fontId="66" fillId="44" borderId="49" xfId="0" applyFont="1" applyFill="1" applyBorder="1" applyAlignment="1">
      <alignment horizontal="center" vertical="center" wrapText="1"/>
    </xf>
    <xf numFmtId="0" fontId="66" fillId="44" borderId="47" xfId="0" applyFont="1" applyFill="1" applyBorder="1" applyAlignment="1">
      <alignment horizontal="center" vertical="center" wrapText="1"/>
    </xf>
    <xf numFmtId="0" fontId="66" fillId="44" borderId="49" xfId="0" applyFont="1" applyFill="1" applyBorder="1" applyAlignment="1">
      <alignment horizontal="left" vertical="center" wrapText="1"/>
    </xf>
    <xf numFmtId="0" fontId="66" fillId="44" borderId="47" xfId="0" applyFont="1" applyFill="1" applyBorder="1" applyAlignment="1">
      <alignment horizontal="left" vertical="center" wrapText="1"/>
    </xf>
    <xf numFmtId="0" fontId="66" fillId="0" borderId="49" xfId="0" applyFont="1" applyFill="1" applyBorder="1" applyAlignment="1">
      <alignment horizontal="center" vertical="center" wrapText="1"/>
    </xf>
    <xf numFmtId="0" fontId="67" fillId="0" borderId="49" xfId="800" applyFont="1" applyFill="1" applyBorder="1" applyAlignment="1">
      <alignment horizontal="left" vertical="center" wrapText="1"/>
    </xf>
    <xf numFmtId="14" fontId="67" fillId="44" borderId="49" xfId="800" applyNumberFormat="1" applyFont="1" applyFill="1" applyBorder="1" applyAlignment="1">
      <alignment horizontal="center" vertical="center" wrapText="1"/>
    </xf>
    <xf numFmtId="14" fontId="67" fillId="44" borderId="47" xfId="800" applyNumberFormat="1" applyFont="1" applyFill="1" applyBorder="1" applyAlignment="1">
      <alignment horizontal="center" vertical="center" wrapText="1"/>
    </xf>
    <xf numFmtId="0" fontId="66" fillId="44" borderId="49" xfId="0" applyFont="1" applyFill="1" applyBorder="1" applyAlignment="1">
      <alignment horizontal="right" vertical="center" wrapText="1"/>
    </xf>
    <xf numFmtId="14" fontId="67" fillId="0" borderId="49" xfId="800" applyNumberFormat="1" applyFont="1" applyFill="1" applyBorder="1" applyAlignment="1">
      <alignment horizontal="center" vertical="center" wrapText="1"/>
    </xf>
    <xf numFmtId="0" fontId="67" fillId="44" borderId="49" xfId="800" applyFont="1" applyFill="1" applyBorder="1" applyAlignment="1">
      <alignment horizontal="left" vertical="center" wrapText="1"/>
    </xf>
    <xf numFmtId="3" fontId="66" fillId="44" borderId="27" xfId="0" applyNumberFormat="1" applyFont="1" applyFill="1" applyBorder="1" applyAlignment="1">
      <alignment horizontal="center" vertical="center" wrapText="1"/>
    </xf>
    <xf numFmtId="0" fontId="92" fillId="44" borderId="27" xfId="0" applyFont="1" applyFill="1" applyBorder="1" applyAlignment="1">
      <alignment horizontal="center" vertical="center" wrapText="1"/>
    </xf>
    <xf numFmtId="199" fontId="66" fillId="44" borderId="27" xfId="357" applyNumberFormat="1" applyFont="1" applyFill="1" applyBorder="1" applyAlignment="1">
      <alignment horizontal="center" vertical="center" wrapText="1"/>
    </xf>
    <xf numFmtId="0" fontId="66" fillId="44" borderId="46" xfId="0" applyFont="1" applyFill="1" applyBorder="1" applyAlignment="1">
      <alignment horizontal="center" vertical="center" wrapText="1"/>
    </xf>
    <xf numFmtId="0" fontId="92" fillId="44" borderId="49" xfId="0" applyFont="1" applyFill="1" applyBorder="1" applyAlignment="1">
      <alignment horizontal="center" vertical="center" wrapText="1"/>
    </xf>
    <xf numFmtId="0" fontId="92" fillId="44" borderId="47" xfId="0" applyFont="1" applyFill="1" applyBorder="1" applyAlignment="1">
      <alignment horizontal="center" vertical="center" wrapText="1"/>
    </xf>
    <xf numFmtId="0" fontId="82" fillId="0" borderId="27" xfId="728" applyFill="1" applyBorder="1" applyAlignment="1">
      <alignment horizontal="left" vertical="center" wrapText="1"/>
    </xf>
    <xf numFmtId="0" fontId="84" fillId="44" borderId="27" xfId="800" applyFont="1" applyFill="1" applyBorder="1" applyAlignment="1">
      <alignment vertical="center" wrapText="1"/>
    </xf>
    <xf numFmtId="0" fontId="84" fillId="44" borderId="27" xfId="0" applyFont="1" applyFill="1" applyBorder="1" applyAlignment="1">
      <alignment horizontal="left" vertical="center" wrapText="1"/>
    </xf>
    <xf numFmtId="199" fontId="66" fillId="44" borderId="27" xfId="357" applyNumberFormat="1" applyFont="1" applyFill="1" applyBorder="1" applyAlignment="1">
      <alignment vertical="center" wrapText="1"/>
    </xf>
    <xf numFmtId="199" fontId="67" fillId="44" borderId="27" xfId="357" applyNumberFormat="1" applyFont="1" applyFill="1" applyBorder="1" applyAlignment="1">
      <alignment horizontal="center" vertical="center" wrapText="1"/>
    </xf>
    <xf numFmtId="199" fontId="66" fillId="44" borderId="27" xfId="357" quotePrefix="1" applyNumberFormat="1" applyFont="1" applyFill="1" applyBorder="1" applyAlignment="1">
      <alignment horizontal="center" vertical="center" wrapText="1"/>
    </xf>
    <xf numFmtId="199" fontId="66" fillId="44" borderId="27" xfId="357" applyNumberFormat="1" applyFont="1" applyFill="1" applyBorder="1" applyAlignment="1">
      <alignment horizontal="left" vertical="center" wrapText="1"/>
    </xf>
    <xf numFmtId="199" fontId="66" fillId="44" borderId="49" xfId="357" applyNumberFormat="1" applyFont="1" applyFill="1" applyBorder="1" applyAlignment="1">
      <alignment horizontal="center" vertical="center" wrapText="1"/>
    </xf>
    <xf numFmtId="0" fontId="92" fillId="0" borderId="49" xfId="0" applyFont="1" applyFill="1" applyBorder="1" applyAlignment="1">
      <alignment horizontal="center" vertical="center" wrapText="1"/>
    </xf>
    <xf numFmtId="199" fontId="66" fillId="44" borderId="49" xfId="357" applyNumberFormat="1" applyFont="1" applyFill="1" applyBorder="1" applyAlignment="1">
      <alignment horizontal="right" vertical="center" wrapText="1"/>
    </xf>
    <xf numFmtId="0" fontId="92" fillId="0" borderId="27" xfId="0" applyFont="1" applyFill="1" applyBorder="1" applyAlignment="1">
      <alignment horizontal="center" vertical="center" wrapText="1"/>
    </xf>
    <xf numFmtId="0" fontId="66" fillId="44" borderId="50" xfId="0" applyFont="1" applyFill="1" applyBorder="1" applyAlignment="1">
      <alignment horizontal="left" vertical="center" wrapText="1"/>
    </xf>
    <xf numFmtId="0" fontId="93" fillId="44" borderId="27" xfId="0" applyFont="1" applyFill="1" applyBorder="1" applyAlignment="1">
      <alignment horizontal="center" vertical="center" wrapText="1"/>
    </xf>
    <xf numFmtId="14" fontId="67" fillId="52" borderId="27" xfId="800" applyNumberFormat="1" applyFont="1" applyFill="1" applyBorder="1" applyAlignment="1">
      <alignment horizontal="center" vertical="center" wrapText="1"/>
    </xf>
    <xf numFmtId="0" fontId="67" fillId="52" borderId="27" xfId="800" applyFont="1" applyFill="1" applyBorder="1" applyAlignment="1">
      <alignment vertical="center" wrapText="1"/>
    </xf>
    <xf numFmtId="14" fontId="0" fillId="0" borderId="24" xfId="0" applyNumberFormat="1" applyFill="1" applyBorder="1" applyAlignment="1">
      <alignment horizontal="center" vertical="center"/>
    </xf>
    <xf numFmtId="4" fontId="66" fillId="44" borderId="27" xfId="0" applyNumberFormat="1" applyFont="1" applyFill="1" applyBorder="1" applyAlignment="1">
      <alignment horizontal="left" vertical="center" wrapText="1"/>
    </xf>
    <xf numFmtId="43" fontId="66" fillId="44" borderId="27" xfId="344" applyFont="1" applyFill="1" applyBorder="1" applyAlignment="1">
      <alignment horizontal="left" vertical="center" wrapText="1"/>
    </xf>
    <xf numFmtId="199" fontId="66" fillId="0" borderId="49" xfId="0" applyNumberFormat="1" applyFont="1" applyFill="1" applyBorder="1" applyAlignment="1">
      <alignment horizontal="center" vertical="center" wrapText="1"/>
    </xf>
    <xf numFmtId="4" fontId="66" fillId="44" borderId="27" xfId="0" applyNumberFormat="1" applyFont="1" applyFill="1" applyBorder="1" applyAlignment="1">
      <alignment horizontal="center" vertical="center" wrapText="1"/>
    </xf>
    <xf numFmtId="0" fontId="66" fillId="53" borderId="27" xfId="0" applyFont="1" applyFill="1" applyBorder="1" applyAlignment="1">
      <alignment vertical="center" wrapText="1"/>
    </xf>
    <xf numFmtId="6" fontId="66" fillId="44" borderId="27" xfId="0" applyNumberFormat="1" applyFont="1" applyFill="1" applyBorder="1" applyAlignment="1">
      <alignment horizontal="center" vertical="center" wrapText="1"/>
    </xf>
    <xf numFmtId="0" fontId="88" fillId="45" borderId="24" xfId="0" applyFont="1" applyFill="1" applyBorder="1" applyAlignment="1">
      <alignment horizontal="center" vertical="center" wrapText="1"/>
    </xf>
    <xf numFmtId="0" fontId="67" fillId="0" borderId="47" xfId="800" applyFont="1" applyFill="1" applyBorder="1" applyAlignment="1">
      <alignment vertical="center" wrapText="1"/>
    </xf>
    <xf numFmtId="0" fontId="67" fillId="44" borderId="47" xfId="800" applyFont="1" applyFill="1" applyBorder="1" applyAlignment="1">
      <alignment vertical="center" wrapText="1"/>
    </xf>
    <xf numFmtId="0" fontId="66" fillId="0" borderId="51" xfId="0" applyFont="1" applyFill="1" applyBorder="1" applyAlignment="1">
      <alignment horizontal="left" vertical="center" wrapText="1"/>
    </xf>
    <xf numFmtId="0" fontId="66" fillId="0" borderId="24" xfId="0" applyFont="1" applyFill="1" applyBorder="1" applyAlignment="1">
      <alignment horizontal="left" vertical="center" wrapText="1"/>
    </xf>
    <xf numFmtId="0" fontId="66" fillId="44" borderId="42" xfId="0" applyFont="1" applyFill="1" applyBorder="1" applyAlignment="1">
      <alignment horizontal="center" vertical="center" wrapText="1"/>
    </xf>
    <xf numFmtId="0" fontId="66" fillId="44" borderId="24" xfId="0" applyFont="1" applyFill="1" applyBorder="1" applyAlignment="1">
      <alignment horizontal="center" vertical="center" wrapText="1"/>
    </xf>
    <xf numFmtId="199" fontId="66" fillId="46" borderId="27" xfId="344" applyNumberFormat="1" applyFont="1" applyFill="1" applyBorder="1" applyAlignment="1">
      <alignment vertical="center" wrapText="1"/>
    </xf>
    <xf numFmtId="0" fontId="94" fillId="44" borderId="27" xfId="800" applyFont="1" applyFill="1" applyBorder="1" applyAlignment="1">
      <alignment vertical="center" wrapText="1"/>
    </xf>
    <xf numFmtId="199" fontId="66" fillId="0" borderId="27" xfId="357" applyNumberFormat="1" applyFont="1" applyFill="1" applyBorder="1" applyAlignment="1">
      <alignment horizontal="center" vertical="center" wrapText="1"/>
    </xf>
    <xf numFmtId="0" fontId="67" fillId="39" borderId="47" xfId="753" applyFont="1" applyFill="1" applyBorder="1" applyAlignment="1">
      <alignment vertical="center" wrapText="1"/>
    </xf>
    <xf numFmtId="14" fontId="67" fillId="0" borderId="27" xfId="800" applyNumberFormat="1" applyFont="1" applyFill="1" applyBorder="1" applyAlignment="1">
      <alignment horizontal="left" vertical="center" wrapText="1"/>
    </xf>
    <xf numFmtId="199" fontId="84" fillId="44" borderId="27" xfId="344" applyNumberFormat="1" applyFont="1" applyFill="1" applyBorder="1" applyAlignment="1">
      <alignment vertical="center" wrapText="1"/>
    </xf>
    <xf numFmtId="0" fontId="82" fillId="0" borderId="0" xfId="0" applyFont="1"/>
    <xf numFmtId="201" fontId="82" fillId="0" borderId="0" xfId="1104" applyNumberFormat="1" applyFont="1"/>
    <xf numFmtId="0" fontId="82" fillId="54" borderId="24" xfId="0" applyFont="1" applyFill="1" applyBorder="1"/>
    <xf numFmtId="0" fontId="87" fillId="0" borderId="0" xfId="0" applyFont="1"/>
    <xf numFmtId="49" fontId="78" fillId="55" borderId="24" xfId="753" applyNumberFormat="1" applyFont="1" applyFill="1" applyBorder="1" applyAlignment="1">
      <alignment horizontal="right" vertical="center" wrapText="1"/>
    </xf>
    <xf numFmtId="0" fontId="78" fillId="55" borderId="24" xfId="753" applyFont="1" applyFill="1" applyBorder="1" applyAlignment="1">
      <alignment horizontal="center" vertical="center" wrapText="1"/>
    </xf>
    <xf numFmtId="49" fontId="95" fillId="44" borderId="24" xfId="0" applyNumberFormat="1" applyFont="1" applyFill="1" applyBorder="1" applyAlignment="1">
      <alignment horizontal="right"/>
    </xf>
    <xf numFmtId="0" fontId="95" fillId="44" borderId="24" xfId="0" applyFont="1" applyFill="1" applyBorder="1"/>
    <xf numFmtId="49" fontId="95" fillId="44" borderId="24" xfId="0" applyNumberFormat="1" applyFont="1" applyFill="1" applyBorder="1"/>
    <xf numFmtId="0" fontId="95" fillId="44" borderId="24" xfId="0" applyFont="1" applyFill="1" applyBorder="1" applyAlignment="1">
      <alignment vertical="center" wrapText="1"/>
    </xf>
    <xf numFmtId="0" fontId="95" fillId="44" borderId="24" xfId="0" applyFont="1" applyFill="1" applyBorder="1" applyAlignment="1">
      <alignment vertical="center"/>
    </xf>
    <xf numFmtId="49" fontId="95" fillId="44" borderId="24" xfId="0" applyNumberFormat="1" applyFont="1" applyFill="1" applyBorder="1" applyAlignment="1">
      <alignment horizontal="left"/>
    </xf>
    <xf numFmtId="0" fontId="95" fillId="44" borderId="24" xfId="0" quotePrefix="1" applyFont="1" applyFill="1" applyBorder="1" applyAlignment="1" applyProtection="1">
      <alignment horizontal="left"/>
      <protection locked="0"/>
    </xf>
    <xf numFmtId="49" fontId="95" fillId="44" borderId="24" xfId="0" applyNumberFormat="1" applyFont="1" applyFill="1" applyBorder="1" applyAlignment="1" applyProtection="1">
      <alignment horizontal="left"/>
      <protection locked="0"/>
    </xf>
    <xf numFmtId="0" fontId="4" fillId="42" borderId="0" xfId="0" applyFont="1" applyFill="1"/>
    <xf numFmtId="0" fontId="4" fillId="0" borderId="0" xfId="0" applyFont="1"/>
    <xf numFmtId="0" fontId="82" fillId="0" borderId="24" xfId="0" applyFont="1" applyBorder="1" applyAlignment="1">
      <alignment horizontal="left" vertical="center" wrapText="1"/>
    </xf>
    <xf numFmtId="0" fontId="95" fillId="0" borderId="24" xfId="0" applyFont="1" applyFill="1" applyBorder="1" applyAlignment="1">
      <alignment horizontal="left" vertical="center" wrapText="1"/>
    </xf>
    <xf numFmtId="0" fontId="82" fillId="54" borderId="24" xfId="0" applyFont="1" applyFill="1" applyBorder="1" applyAlignment="1">
      <alignment horizontal="left" vertical="center" wrapText="1"/>
    </xf>
    <xf numFmtId="14" fontId="82" fillId="0" borderId="24" xfId="0" applyNumberFormat="1" applyFont="1" applyBorder="1" applyAlignment="1">
      <alignment horizontal="left" vertical="center" wrapText="1"/>
    </xf>
    <xf numFmtId="0" fontId="82" fillId="0" borderId="24" xfId="0" applyFont="1" applyBorder="1" applyAlignment="1">
      <alignment horizontal="left" vertical="center" wrapText="1" indent="1"/>
    </xf>
    <xf numFmtId="0" fontId="82" fillId="0" borderId="24" xfId="0" applyFont="1" applyFill="1" applyBorder="1" applyAlignment="1">
      <alignment horizontal="left" vertical="center" wrapText="1"/>
    </xf>
    <xf numFmtId="0" fontId="82" fillId="0" borderId="0" xfId="0" applyFont="1" applyAlignment="1">
      <alignment horizontal="left" vertical="center" wrapText="1"/>
    </xf>
    <xf numFmtId="0" fontId="88" fillId="45" borderId="24" xfId="0" applyFont="1" applyFill="1" applyBorder="1" applyAlignment="1">
      <alignment horizontal="center" vertical="center" wrapText="1"/>
    </xf>
    <xf numFmtId="0" fontId="88" fillId="56" borderId="54" xfId="0" applyFont="1" applyFill="1" applyBorder="1" applyAlignment="1">
      <alignment horizontal="center" vertical="center" wrapText="1"/>
    </xf>
    <xf numFmtId="0" fontId="88" fillId="56" borderId="52" xfId="0" applyFont="1" applyFill="1" applyBorder="1" applyAlignment="1">
      <alignment horizontal="center" vertical="center" wrapText="1"/>
    </xf>
    <xf numFmtId="0" fontId="88" fillId="56" borderId="53" xfId="0" applyFont="1" applyFill="1" applyBorder="1" applyAlignment="1">
      <alignment horizontal="center" vertical="center" wrapText="1"/>
    </xf>
    <xf numFmtId="0" fontId="66" fillId="44" borderId="61" xfId="0" applyFont="1" applyFill="1" applyBorder="1" applyAlignment="1">
      <alignment horizontal="center" vertical="center" wrapText="1"/>
    </xf>
    <xf numFmtId="0" fontId="66" fillId="44" borderId="45" xfId="0" applyFont="1" applyFill="1" applyBorder="1" applyAlignment="1">
      <alignment horizontal="center" vertical="center" wrapText="1"/>
    </xf>
    <xf numFmtId="0" fontId="88" fillId="45" borderId="55" xfId="0" applyFont="1" applyFill="1" applyBorder="1" applyAlignment="1">
      <alignment horizontal="center" vertical="center" wrapText="1"/>
    </xf>
    <xf numFmtId="0" fontId="88" fillId="45" borderId="38" xfId="0" applyFont="1" applyFill="1" applyBorder="1" applyAlignment="1">
      <alignment horizontal="center" vertical="center" wrapText="1"/>
    </xf>
    <xf numFmtId="0" fontId="88" fillId="47" borderId="57" xfId="0" applyFont="1" applyFill="1" applyBorder="1" applyAlignment="1">
      <alignment horizontal="center" vertical="center" wrapText="1"/>
    </xf>
    <xf numFmtId="0" fontId="88" fillId="47" borderId="55" xfId="0" applyFont="1" applyFill="1" applyBorder="1" applyAlignment="1">
      <alignment horizontal="center" vertical="center" wrapText="1"/>
    </xf>
    <xf numFmtId="0" fontId="88" fillId="45" borderId="57" xfId="0" applyFont="1" applyFill="1" applyBorder="1" applyAlignment="1">
      <alignment horizontal="center" vertical="center" wrapText="1"/>
    </xf>
    <xf numFmtId="0" fontId="88" fillId="45" borderId="58" xfId="0" applyFont="1" applyFill="1" applyBorder="1" applyAlignment="1">
      <alignment horizontal="center" vertical="center" wrapText="1"/>
    </xf>
    <xf numFmtId="0" fontId="88" fillId="47" borderId="58" xfId="0" applyFont="1" applyFill="1" applyBorder="1" applyAlignment="1">
      <alignment horizontal="center" vertical="center" wrapText="1"/>
    </xf>
    <xf numFmtId="0" fontId="88" fillId="45" borderId="56" xfId="0" applyFont="1" applyFill="1" applyBorder="1" applyAlignment="1">
      <alignment horizontal="center" vertical="center" wrapText="1"/>
    </xf>
    <xf numFmtId="0" fontId="88" fillId="45" borderId="37" xfId="0" applyFont="1" applyFill="1" applyBorder="1" applyAlignment="1">
      <alignment horizontal="center" vertical="center" wrapText="1"/>
    </xf>
    <xf numFmtId="0" fontId="88" fillId="45" borderId="33" xfId="0" applyFont="1" applyFill="1" applyBorder="1" applyAlignment="1">
      <alignment horizontal="center" vertical="center" wrapText="1"/>
    </xf>
    <xf numFmtId="0" fontId="88" fillId="45" borderId="48" xfId="0" applyFont="1" applyFill="1" applyBorder="1" applyAlignment="1">
      <alignment horizontal="center" vertical="center" wrapText="1"/>
    </xf>
    <xf numFmtId="0" fontId="88" fillId="45" borderId="59" xfId="0" applyFont="1" applyFill="1" applyBorder="1" applyAlignment="1">
      <alignment horizontal="center" vertical="center" wrapText="1"/>
    </xf>
    <xf numFmtId="0" fontId="88" fillId="45" borderId="60" xfId="0" applyFont="1" applyFill="1" applyBorder="1" applyAlignment="1">
      <alignment horizontal="center" vertical="center" wrapText="1"/>
    </xf>
    <xf numFmtId="0" fontId="88" fillId="0" borderId="55" xfId="0" applyFont="1" applyFill="1" applyBorder="1" applyAlignment="1">
      <alignment horizontal="center" vertical="center" wrapText="1"/>
    </xf>
    <xf numFmtId="0" fontId="88" fillId="0" borderId="38" xfId="0" applyFont="1" applyFill="1" applyBorder="1" applyAlignment="1">
      <alignment horizontal="center" vertical="center" wrapText="1"/>
    </xf>
    <xf numFmtId="0" fontId="74" fillId="46" borderId="23" xfId="0" applyFont="1" applyFill="1" applyBorder="1" applyAlignment="1">
      <alignment horizontal="left" vertical="top"/>
    </xf>
    <xf numFmtId="0" fontId="91" fillId="46" borderId="0" xfId="0" applyFont="1" applyFill="1"/>
    <xf numFmtId="0" fontId="74" fillId="57" borderId="23" xfId="0" applyFont="1" applyFill="1" applyBorder="1" applyAlignment="1">
      <alignment horizontal="left" vertical="top"/>
    </xf>
    <xf numFmtId="0" fontId="91" fillId="57" borderId="0" xfId="0" applyFont="1" applyFill="1"/>
    <xf numFmtId="0" fontId="74" fillId="48" borderId="23" xfId="0" applyFont="1" applyFill="1" applyBorder="1" applyAlignment="1">
      <alignment horizontal="left" vertical="top"/>
    </xf>
    <xf numFmtId="0" fontId="91" fillId="48" borderId="0" xfId="0" applyFont="1" applyFill="1"/>
    <xf numFmtId="0" fontId="96" fillId="45" borderId="24" xfId="0" applyFont="1" applyFill="1" applyBorder="1" applyAlignment="1">
      <alignment horizontal="center" vertical="center" wrapText="1"/>
    </xf>
    <xf numFmtId="0" fontId="96" fillId="45" borderId="10" xfId="0" applyFont="1" applyFill="1" applyBorder="1" applyAlignment="1">
      <alignment horizontal="center" vertical="center" wrapText="1"/>
    </xf>
    <xf numFmtId="0" fontId="96" fillId="45" borderId="25" xfId="0" applyFont="1" applyFill="1" applyBorder="1" applyAlignment="1">
      <alignment horizontal="center" vertical="center" wrapText="1"/>
    </xf>
    <xf numFmtId="0" fontId="96" fillId="45" borderId="25" xfId="0" applyFont="1" applyFill="1" applyBorder="1" applyAlignment="1">
      <alignment horizontal="center" vertical="center"/>
    </xf>
  </cellXfs>
  <cellStyles count="1568">
    <cellStyle name="%" xfId="1"/>
    <cellStyle name="% 2" xfId="2"/>
    <cellStyle name="% 2 2" xfId="3"/>
    <cellStyle name="_Rebate" xfId="4"/>
    <cellStyle name="_Rebate 2" xfId="5"/>
    <cellStyle name="_Rebate per albergo 2009" xfId="6"/>
    <cellStyle name="_Rebate per albergo 2009 2" xfId="7"/>
    <cellStyle name="_Rebates 2008 Italy NH HOTELES" xfId="8"/>
    <cellStyle name="_Rebates 2008 Italy NH HOTELES 2" xfId="9"/>
    <cellStyle name="_Reparto de rebates 2007" xfId="10"/>
    <cellStyle name="_Reparto de rebates 2007 2" xfId="11"/>
    <cellStyle name="_Savings over 20000 euros Q1" xfId="12"/>
    <cellStyle name="_Savings over 20000 euros Q1 2" xfId="13"/>
    <cellStyle name="0,0_x000d__x000a_NA_x000d__x000a_" xfId="14"/>
    <cellStyle name="0,0_x000d__x000a_NA_x000d__x000a_ 2" xfId="15"/>
    <cellStyle name="0,0_x000d__x000a_NA_x000d__x000a_ 3" xfId="16"/>
    <cellStyle name="0,0_x000d__x000a_NA_x000d__x000a_ 4" xfId="17"/>
    <cellStyle name="0,0_x000d__x000a_NA_x000d__x000a_ 5" xfId="18"/>
    <cellStyle name="20% - Accent1 2" xfId="19"/>
    <cellStyle name="20% - Accent1 2 2" xfId="20"/>
    <cellStyle name="20% - Accent1 2 2 2" xfId="21"/>
    <cellStyle name="20% - Accent1 2 2 2 2" xfId="22"/>
    <cellStyle name="20% - Accent1 2 2 3" xfId="23"/>
    <cellStyle name="20% - Accent1 2 3" xfId="24"/>
    <cellStyle name="20% - Accent1 2 3 2" xfId="25"/>
    <cellStyle name="20% - Accent1 2 4" xfId="26"/>
    <cellStyle name="20% - Accent2 2" xfId="27"/>
    <cellStyle name="20% - Accent2 2 2" xfId="28"/>
    <cellStyle name="20% - Accent2 2 2 2" xfId="29"/>
    <cellStyle name="20% - Accent2 2 2 2 2" xfId="30"/>
    <cellStyle name="20% - Accent2 2 2 3" xfId="31"/>
    <cellStyle name="20% - Accent2 2 3" xfId="32"/>
    <cellStyle name="20% - Accent2 2 3 2" xfId="33"/>
    <cellStyle name="20% - Accent2 2 4" xfId="34"/>
    <cellStyle name="20% - Accent3 2" xfId="35"/>
    <cellStyle name="20% - Accent3 2 2" xfId="36"/>
    <cellStyle name="20% - Accent3 2 2 2" xfId="37"/>
    <cellStyle name="20% - Accent3 2 2 2 2" xfId="38"/>
    <cellStyle name="20% - Accent3 2 2 3" xfId="39"/>
    <cellStyle name="20% - Accent3 2 3" xfId="40"/>
    <cellStyle name="20% - Accent3 2 3 2" xfId="41"/>
    <cellStyle name="20% - Accent3 2 4" xfId="42"/>
    <cellStyle name="20% - Accent4 2" xfId="43"/>
    <cellStyle name="20% - Accent4 2 2" xfId="44"/>
    <cellStyle name="20% - Accent4 2 2 2" xfId="45"/>
    <cellStyle name="20% - Accent4 2 2 2 2" xfId="46"/>
    <cellStyle name="20% - Accent4 2 2 3" xfId="47"/>
    <cellStyle name="20% - Accent4 2 3" xfId="48"/>
    <cellStyle name="20% - Accent4 2 3 2" xfId="49"/>
    <cellStyle name="20% - Accent4 2 4" xfId="50"/>
    <cellStyle name="20% - Accent5 2" xfId="51"/>
    <cellStyle name="20% - Accent5 2 2" xfId="52"/>
    <cellStyle name="20% - Accent5 2 2 2" xfId="53"/>
    <cellStyle name="20% - Accent5 2 2 2 2" xfId="54"/>
    <cellStyle name="20% - Accent5 2 2 3" xfId="55"/>
    <cellStyle name="20% - Accent5 2 3" xfId="56"/>
    <cellStyle name="20% - Accent5 2 3 2" xfId="57"/>
    <cellStyle name="20% - Accent5 2 4" xfId="58"/>
    <cellStyle name="20% - Accent6 2" xfId="59"/>
    <cellStyle name="20% - Accent6 2 2" xfId="60"/>
    <cellStyle name="20% - Accent6 2 2 2" xfId="61"/>
    <cellStyle name="20% - Accent6 2 2 2 2" xfId="62"/>
    <cellStyle name="20% - Accent6 2 2 3" xfId="63"/>
    <cellStyle name="20% - Accent6 2 3" xfId="64"/>
    <cellStyle name="20% - Accent6 2 3 2" xfId="65"/>
    <cellStyle name="20% - Accent6 2 4" xfId="66"/>
    <cellStyle name="20% - Colore 1" xfId="67"/>
    <cellStyle name="20% - Colore 1 2" xfId="68"/>
    <cellStyle name="20% - Colore 1 2 2" xfId="69"/>
    <cellStyle name="20% - Colore 1 2 2 2" xfId="70"/>
    <cellStyle name="20% - Colore 1 2 3" xfId="71"/>
    <cellStyle name="20% - Colore 1 3" xfId="72"/>
    <cellStyle name="20% - Colore 1 3 2" xfId="73"/>
    <cellStyle name="20% - Colore 1 4" xfId="74"/>
    <cellStyle name="20% - Colore 2" xfId="75"/>
    <cellStyle name="20% - Colore 2 2" xfId="76"/>
    <cellStyle name="20% - Colore 2 2 2" xfId="77"/>
    <cellStyle name="20% - Colore 2 2 2 2" xfId="78"/>
    <cellStyle name="20% - Colore 2 2 3" xfId="79"/>
    <cellStyle name="20% - Colore 2 3" xfId="80"/>
    <cellStyle name="20% - Colore 2 3 2" xfId="81"/>
    <cellStyle name="20% - Colore 2 4" xfId="82"/>
    <cellStyle name="20% - Colore 3" xfId="83"/>
    <cellStyle name="20% - Colore 3 2" xfId="84"/>
    <cellStyle name="20% - Colore 3 2 2" xfId="85"/>
    <cellStyle name="20% - Colore 3 2 2 2" xfId="86"/>
    <cellStyle name="20% - Colore 3 2 3" xfId="87"/>
    <cellStyle name="20% - Colore 3 3" xfId="88"/>
    <cellStyle name="20% - Colore 3 3 2" xfId="89"/>
    <cellStyle name="20% - Colore 3 4" xfId="90"/>
    <cellStyle name="20% - Colore 4" xfId="91"/>
    <cellStyle name="20% - Colore 4 2" xfId="92"/>
    <cellStyle name="20% - Colore 4 2 2" xfId="93"/>
    <cellStyle name="20% - Colore 4 2 2 2" xfId="94"/>
    <cellStyle name="20% - Colore 4 2 3" xfId="95"/>
    <cellStyle name="20% - Colore 4 3" xfId="96"/>
    <cellStyle name="20% - Colore 4 3 2" xfId="97"/>
    <cellStyle name="20% - Colore 4 4" xfId="98"/>
    <cellStyle name="20% - Colore 5" xfId="99"/>
    <cellStyle name="20% - Colore 5 2" xfId="100"/>
    <cellStyle name="20% - Colore 5 2 2" xfId="101"/>
    <cellStyle name="20% - Colore 5 2 2 2" xfId="102"/>
    <cellStyle name="20% - Colore 5 2 3" xfId="103"/>
    <cellStyle name="20% - Colore 5 3" xfId="104"/>
    <cellStyle name="20% - Colore 5 3 2" xfId="105"/>
    <cellStyle name="20% - Colore 5 4" xfId="106"/>
    <cellStyle name="20% - Colore 6" xfId="107"/>
    <cellStyle name="20% - Colore 6 2" xfId="108"/>
    <cellStyle name="20% - Colore 6 2 2" xfId="109"/>
    <cellStyle name="20% - Colore 6 2 2 2" xfId="110"/>
    <cellStyle name="20% - Colore 6 2 3" xfId="111"/>
    <cellStyle name="20% - Colore 6 3" xfId="112"/>
    <cellStyle name="20% - Colore 6 3 2" xfId="113"/>
    <cellStyle name="20% - Colore 6 4" xfId="114"/>
    <cellStyle name="20% - Énfasis1 2" xfId="115"/>
    <cellStyle name="20% - Énfasis1 2 2" xfId="116"/>
    <cellStyle name="20% - Énfasis1 3" xfId="117"/>
    <cellStyle name="20% - Énfasis1 3 2" xfId="118"/>
    <cellStyle name="20% - Énfasis1 4" xfId="119"/>
    <cellStyle name="20% - Énfasis2 2" xfId="120"/>
    <cellStyle name="20% - Énfasis2 2 2" xfId="121"/>
    <cellStyle name="20% - Énfasis2 3" xfId="122"/>
    <cellStyle name="20% - Énfasis2 3 2" xfId="123"/>
    <cellStyle name="20% - Énfasis2 4" xfId="124"/>
    <cellStyle name="20% - Énfasis3 2" xfId="125"/>
    <cellStyle name="20% - Énfasis3 2 2" xfId="126"/>
    <cellStyle name="20% - Énfasis3 3" xfId="127"/>
    <cellStyle name="20% - Énfasis3 3 2" xfId="128"/>
    <cellStyle name="20% - Énfasis3 4" xfId="129"/>
    <cellStyle name="20% - Énfasis4 2" xfId="130"/>
    <cellStyle name="20% - Énfasis4 2 2" xfId="131"/>
    <cellStyle name="20% - Énfasis4 3" xfId="132"/>
    <cellStyle name="20% - Énfasis4 3 2" xfId="133"/>
    <cellStyle name="20% - Énfasis4 4" xfId="134"/>
    <cellStyle name="20% - Énfasis5 2" xfId="135"/>
    <cellStyle name="20% - Énfasis5 2 2" xfId="136"/>
    <cellStyle name="20% - Énfasis5 3" xfId="137"/>
    <cellStyle name="20% - Énfasis5 3 2" xfId="138"/>
    <cellStyle name="20% - Énfasis5 4" xfId="139"/>
    <cellStyle name="20% - Énfasis6 2" xfId="140"/>
    <cellStyle name="20% - Énfasis6 2 2" xfId="141"/>
    <cellStyle name="20% - Énfasis6 3" xfId="142"/>
    <cellStyle name="20% - Énfasis6 3 2" xfId="143"/>
    <cellStyle name="20% - Énfasis6 4" xfId="144"/>
    <cellStyle name="40% - Accent1 2" xfId="145"/>
    <cellStyle name="40% - Accent1 2 2" xfId="146"/>
    <cellStyle name="40% - Accent1 2 2 2" xfId="147"/>
    <cellStyle name="40% - Accent1 2 2 2 2" xfId="148"/>
    <cellStyle name="40% - Accent1 2 2 3" xfId="149"/>
    <cellStyle name="40% - Accent1 2 3" xfId="150"/>
    <cellStyle name="40% - Accent1 2 3 2" xfId="151"/>
    <cellStyle name="40% - Accent1 2 4" xfId="152"/>
    <cellStyle name="40% - Accent2 2" xfId="153"/>
    <cellStyle name="40% - Accent2 2 2" xfId="154"/>
    <cellStyle name="40% - Accent2 2 2 2" xfId="155"/>
    <cellStyle name="40% - Accent2 2 2 2 2" xfId="156"/>
    <cellStyle name="40% - Accent2 2 2 3" xfId="157"/>
    <cellStyle name="40% - Accent2 2 3" xfId="158"/>
    <cellStyle name="40% - Accent2 2 3 2" xfId="159"/>
    <cellStyle name="40% - Accent2 2 4" xfId="160"/>
    <cellStyle name="40% - Accent3 2" xfId="161"/>
    <cellStyle name="40% - Accent3 2 2" xfId="162"/>
    <cellStyle name="40% - Accent3 2 2 2" xfId="163"/>
    <cellStyle name="40% - Accent3 2 2 2 2" xfId="164"/>
    <cellStyle name="40% - Accent3 2 2 3" xfId="165"/>
    <cellStyle name="40% - Accent3 2 3" xfId="166"/>
    <cellStyle name="40% - Accent3 2 3 2" xfId="167"/>
    <cellStyle name="40% - Accent3 2 4" xfId="168"/>
    <cellStyle name="40% - Accent4 2" xfId="169"/>
    <cellStyle name="40% - Accent4 2 2" xfId="170"/>
    <cellStyle name="40% - Accent4 2 2 2" xfId="171"/>
    <cellStyle name="40% - Accent4 2 2 2 2" xfId="172"/>
    <cellStyle name="40% - Accent4 2 2 3" xfId="173"/>
    <cellStyle name="40% - Accent4 2 3" xfId="174"/>
    <cellStyle name="40% - Accent4 2 3 2" xfId="175"/>
    <cellStyle name="40% - Accent4 2 4" xfId="176"/>
    <cellStyle name="40% - Accent5 2" xfId="177"/>
    <cellStyle name="40% - Accent5 2 2" xfId="178"/>
    <cellStyle name="40% - Accent5 2 2 2" xfId="179"/>
    <cellStyle name="40% - Accent5 2 2 2 2" xfId="180"/>
    <cellStyle name="40% - Accent5 2 2 3" xfId="181"/>
    <cellStyle name="40% - Accent5 2 3" xfId="182"/>
    <cellStyle name="40% - Accent5 2 3 2" xfId="183"/>
    <cellStyle name="40% - Accent5 2 4" xfId="184"/>
    <cellStyle name="40% - Accent6 2" xfId="185"/>
    <cellStyle name="40% - Accent6 2 2" xfId="186"/>
    <cellStyle name="40% - Accent6 2 2 2" xfId="187"/>
    <cellStyle name="40% - Accent6 2 2 2 2" xfId="188"/>
    <cellStyle name="40% - Accent6 2 2 3" xfId="189"/>
    <cellStyle name="40% - Accent6 2 3" xfId="190"/>
    <cellStyle name="40% - Accent6 2 3 2" xfId="191"/>
    <cellStyle name="40% - Accent6 2 4" xfId="192"/>
    <cellStyle name="40% - Colore 1" xfId="193"/>
    <cellStyle name="40% - Colore 1 2" xfId="194"/>
    <cellStyle name="40% - Colore 1 2 2" xfId="195"/>
    <cellStyle name="40% - Colore 1 2 2 2" xfId="196"/>
    <cellStyle name="40% - Colore 1 2 3" xfId="197"/>
    <cellStyle name="40% - Colore 1 3" xfId="198"/>
    <cellStyle name="40% - Colore 1 3 2" xfId="199"/>
    <cellStyle name="40% - Colore 1 4" xfId="200"/>
    <cellStyle name="40% - Colore 2" xfId="201"/>
    <cellStyle name="40% - Colore 2 2" xfId="202"/>
    <cellStyle name="40% - Colore 2 2 2" xfId="203"/>
    <cellStyle name="40% - Colore 2 2 2 2" xfId="204"/>
    <cellStyle name="40% - Colore 2 2 3" xfId="205"/>
    <cellStyle name="40% - Colore 2 3" xfId="206"/>
    <cellStyle name="40% - Colore 2 3 2" xfId="207"/>
    <cellStyle name="40% - Colore 2 4" xfId="208"/>
    <cellStyle name="40% - Colore 3" xfId="209"/>
    <cellStyle name="40% - Colore 3 2" xfId="210"/>
    <cellStyle name="40% - Colore 3 2 2" xfId="211"/>
    <cellStyle name="40% - Colore 3 2 2 2" xfId="212"/>
    <cellStyle name="40% - Colore 3 2 3" xfId="213"/>
    <cellStyle name="40% - Colore 3 3" xfId="214"/>
    <cellStyle name="40% - Colore 3 3 2" xfId="215"/>
    <cellStyle name="40% - Colore 3 4" xfId="216"/>
    <cellStyle name="40% - Colore 4" xfId="217"/>
    <cellStyle name="40% - Colore 4 2" xfId="218"/>
    <cellStyle name="40% - Colore 4 2 2" xfId="219"/>
    <cellStyle name="40% - Colore 4 2 2 2" xfId="220"/>
    <cellStyle name="40% - Colore 4 2 3" xfId="221"/>
    <cellStyle name="40% - Colore 4 3" xfId="222"/>
    <cellStyle name="40% - Colore 4 3 2" xfId="223"/>
    <cellStyle name="40% - Colore 4 4" xfId="224"/>
    <cellStyle name="40% - Colore 5" xfId="225"/>
    <cellStyle name="40% - Colore 5 2" xfId="226"/>
    <cellStyle name="40% - Colore 5 2 2" xfId="227"/>
    <cellStyle name="40% - Colore 5 2 2 2" xfId="228"/>
    <cellStyle name="40% - Colore 5 2 3" xfId="229"/>
    <cellStyle name="40% - Colore 5 3" xfId="230"/>
    <cellStyle name="40% - Colore 5 3 2" xfId="231"/>
    <cellStyle name="40% - Colore 5 4" xfId="232"/>
    <cellStyle name="40% - Colore 6" xfId="233"/>
    <cellStyle name="40% - Colore 6 2" xfId="234"/>
    <cellStyle name="40% - Colore 6 2 2" xfId="235"/>
    <cellStyle name="40% - Colore 6 2 2 2" xfId="236"/>
    <cellStyle name="40% - Colore 6 2 3" xfId="237"/>
    <cellStyle name="40% - Colore 6 3" xfId="238"/>
    <cellStyle name="40% - Colore 6 3 2" xfId="239"/>
    <cellStyle name="40% - Colore 6 4" xfId="240"/>
    <cellStyle name="40% - Énfasis1 2" xfId="241"/>
    <cellStyle name="40% - Énfasis1 2 2" xfId="242"/>
    <cellStyle name="40% - Énfasis1 3" xfId="243"/>
    <cellStyle name="40% - Énfasis1 3 2" xfId="244"/>
    <cellStyle name="40% - Énfasis1 4" xfId="245"/>
    <cellStyle name="40% - Énfasis2 2" xfId="246"/>
    <cellStyle name="40% - Énfasis2 2 2" xfId="247"/>
    <cellStyle name="40% - Énfasis2 3" xfId="248"/>
    <cellStyle name="40% - Énfasis2 3 2" xfId="249"/>
    <cellStyle name="40% - Énfasis2 4" xfId="250"/>
    <cellStyle name="40% - Énfasis3 2" xfId="251"/>
    <cellStyle name="40% - Énfasis3 2 2" xfId="252"/>
    <cellStyle name="40% - Énfasis3 3" xfId="253"/>
    <cellStyle name="40% - Énfasis3 3 2" xfId="254"/>
    <cellStyle name="40% - Énfasis3 4" xfId="255"/>
    <cellStyle name="40% - Énfasis4 2" xfId="256"/>
    <cellStyle name="40% - Énfasis4 2 2" xfId="257"/>
    <cellStyle name="40% - Énfasis4 3" xfId="258"/>
    <cellStyle name="40% - Énfasis4 3 2" xfId="259"/>
    <cellStyle name="40% - Énfasis4 4" xfId="260"/>
    <cellStyle name="40% - Énfasis5 2" xfId="261"/>
    <cellStyle name="40% - Énfasis5 2 2" xfId="262"/>
    <cellStyle name="40% - Énfasis5 3" xfId="263"/>
    <cellStyle name="40% - Énfasis5 3 2" xfId="264"/>
    <cellStyle name="40% - Énfasis5 4" xfId="265"/>
    <cellStyle name="40% - Énfasis6 2" xfId="266"/>
    <cellStyle name="40% - Énfasis6 2 2" xfId="267"/>
    <cellStyle name="40% - Énfasis6 3" xfId="268"/>
    <cellStyle name="40% - Énfasis6 3 2" xfId="269"/>
    <cellStyle name="40% - Énfasis6 4" xfId="270"/>
    <cellStyle name="60% - Accent1 2" xfId="271"/>
    <cellStyle name="60% - Accent2 2" xfId="272"/>
    <cellStyle name="60% - Accent3 2" xfId="273"/>
    <cellStyle name="60% - Accent4 2" xfId="274"/>
    <cellStyle name="60% - Accent5 2" xfId="275"/>
    <cellStyle name="60% - Accent6 2" xfId="276"/>
    <cellStyle name="60% - Colore 1" xfId="277"/>
    <cellStyle name="60% - Colore 1 2" xfId="278"/>
    <cellStyle name="60% - Colore 2" xfId="279"/>
    <cellStyle name="60% - Colore 2 2" xfId="280"/>
    <cellStyle name="60% - Colore 3" xfId="281"/>
    <cellStyle name="60% - Colore 3 2" xfId="282"/>
    <cellStyle name="60% - Colore 4" xfId="283"/>
    <cellStyle name="60% - Colore 4 2" xfId="284"/>
    <cellStyle name="60% - Colore 5" xfId="285"/>
    <cellStyle name="60% - Colore 5 2" xfId="286"/>
    <cellStyle name="60% - Colore 6" xfId="287"/>
    <cellStyle name="60% - Colore 6 2" xfId="288"/>
    <cellStyle name="60% - Énfasis1 2" xfId="289"/>
    <cellStyle name="60% - Énfasis1 3" xfId="290"/>
    <cellStyle name="60% - Énfasis2 2" xfId="291"/>
    <cellStyle name="60% - Énfasis2 3" xfId="292"/>
    <cellStyle name="60% - Énfasis3 2" xfId="293"/>
    <cellStyle name="60% - Énfasis3 3" xfId="294"/>
    <cellStyle name="60% - Énfasis4 2" xfId="295"/>
    <cellStyle name="60% - Énfasis4 3" xfId="296"/>
    <cellStyle name="60% - Énfasis5 2" xfId="297"/>
    <cellStyle name="60% - Énfasis5 3" xfId="298"/>
    <cellStyle name="60% - Énfasis6 2" xfId="299"/>
    <cellStyle name="60% - Énfasis6 3" xfId="300"/>
    <cellStyle name="Accent1 2" xfId="301"/>
    <cellStyle name="Accent2 2" xfId="302"/>
    <cellStyle name="Accent3 2" xfId="303"/>
    <cellStyle name="Accent4 2" xfId="304"/>
    <cellStyle name="Accent5 2" xfId="305"/>
    <cellStyle name="Accent6 2" xfId="306"/>
    <cellStyle name="Bad 2" xfId="307"/>
    <cellStyle name="Buena" xfId="308"/>
    <cellStyle name="Calcolo" xfId="309"/>
    <cellStyle name="Calcolo 2" xfId="310"/>
    <cellStyle name="Calcolo 2 2" xfId="311"/>
    <cellStyle name="Calcolo 2 3" xfId="312"/>
    <cellStyle name="Calcolo 3" xfId="313"/>
    <cellStyle name="Calculation 2" xfId="314"/>
    <cellStyle name="Calculation 2 2" xfId="315"/>
    <cellStyle name="Calculation 2 2 2" xfId="316"/>
    <cellStyle name="Calculation 3" xfId="317"/>
    <cellStyle name="Cálculo 2" xfId="318"/>
    <cellStyle name="Cálculo 2 2" xfId="319"/>
    <cellStyle name="Cálculo 3" xfId="320"/>
    <cellStyle name="Cálculo 3 2" xfId="321"/>
    <cellStyle name="Cálculo 4" xfId="322"/>
    <cellStyle name="Cálculo 4 2" xfId="323"/>
    <cellStyle name="Celda de comprobación" xfId="324"/>
    <cellStyle name="Celda vinculada" xfId="325"/>
    <cellStyle name="Cella collegata" xfId="326"/>
    <cellStyle name="Cella collegata 2" xfId="327"/>
    <cellStyle name="Cella da controllare" xfId="328"/>
    <cellStyle name="Cella da controllare 2" xfId="329"/>
    <cellStyle name="Colore 1" xfId="330"/>
    <cellStyle name="Colore 1 2" xfId="331"/>
    <cellStyle name="Colore 2" xfId="332"/>
    <cellStyle name="Colore 2 2" xfId="333"/>
    <cellStyle name="Colore 3" xfId="334"/>
    <cellStyle name="Colore 3 2" xfId="335"/>
    <cellStyle name="Colore 4" xfId="336"/>
    <cellStyle name="Colore 4 2" xfId="337"/>
    <cellStyle name="Colore 5" xfId="338"/>
    <cellStyle name="Colore 5 2" xfId="339"/>
    <cellStyle name="Colore 6" xfId="340"/>
    <cellStyle name="Colore 6 2" xfId="341"/>
    <cellStyle name="Coma0" xfId="342"/>
    <cellStyle name="Coma1" xfId="343"/>
    <cellStyle name="Comma" xfId="344" builtinId="3"/>
    <cellStyle name="Comma 0" xfId="345"/>
    <cellStyle name="Comma 10" xfId="346"/>
    <cellStyle name="Comma 10 2" xfId="347"/>
    <cellStyle name="Comma 11" xfId="348"/>
    <cellStyle name="Comma 11 2" xfId="349"/>
    <cellStyle name="Comma 12" xfId="350"/>
    <cellStyle name="Comma 12 2" xfId="351"/>
    <cellStyle name="Comma 13" xfId="352"/>
    <cellStyle name="Comma 13 2" xfId="353"/>
    <cellStyle name="Comma 14" xfId="354"/>
    <cellStyle name="Comma 14 2" xfId="355"/>
    <cellStyle name="Comma 15" xfId="356"/>
    <cellStyle name="Comma 16" xfId="357"/>
    <cellStyle name="Comma 2" xfId="358"/>
    <cellStyle name="Comma 2 2" xfId="359"/>
    <cellStyle name="Comma 2 2 2" xfId="360"/>
    <cellStyle name="Comma 2 2 3" xfId="361"/>
    <cellStyle name="Comma 2 2 3 2" xfId="362"/>
    <cellStyle name="Comma 2 2 4" xfId="363"/>
    <cellStyle name="Comma 2 3" xfId="364"/>
    <cellStyle name="Comma 2 4" xfId="365"/>
    <cellStyle name="Comma 2 4 2" xfId="366"/>
    <cellStyle name="Comma 2 5" xfId="367"/>
    <cellStyle name="Comma 2 6" xfId="368"/>
    <cellStyle name="Comma 3" xfId="369"/>
    <cellStyle name="Comma 3 2" xfId="370"/>
    <cellStyle name="Comma 3 2 2" xfId="371"/>
    <cellStyle name="Comma 3 3" xfId="372"/>
    <cellStyle name="Comma 3 3 2" xfId="373"/>
    <cellStyle name="Comma 3 4" xfId="374"/>
    <cellStyle name="Comma 3 4 2" xfId="375"/>
    <cellStyle name="Comma 3 4 3" xfId="376"/>
    <cellStyle name="Comma 3 5" xfId="377"/>
    <cellStyle name="Comma 3 5 2" xfId="378"/>
    <cellStyle name="Comma 3 6" xfId="379"/>
    <cellStyle name="Comma 3 7" xfId="380"/>
    <cellStyle name="Comma 4" xfId="381"/>
    <cellStyle name="Comma 4 2" xfId="382"/>
    <cellStyle name="Comma 4 2 2" xfId="383"/>
    <cellStyle name="Comma 4 3" xfId="384"/>
    <cellStyle name="Comma 4 4" xfId="385"/>
    <cellStyle name="Comma 5" xfId="386"/>
    <cellStyle name="Comma 5 2" xfId="387"/>
    <cellStyle name="Comma 5 2 2" xfId="388"/>
    <cellStyle name="Comma 5 3" xfId="389"/>
    <cellStyle name="Comma 6" xfId="390"/>
    <cellStyle name="Comma 6 2" xfId="391"/>
    <cellStyle name="Comma 6 3" xfId="392"/>
    <cellStyle name="Comma 7" xfId="393"/>
    <cellStyle name="Comma 7 2" xfId="394"/>
    <cellStyle name="Comma 7 2 2" xfId="395"/>
    <cellStyle name="Comma 7 2 3" xfId="396"/>
    <cellStyle name="Comma 7 2 4" xfId="397"/>
    <cellStyle name="Comma 7 3" xfId="398"/>
    <cellStyle name="Comma 8" xfId="399"/>
    <cellStyle name="Comma 8 2" xfId="400"/>
    <cellStyle name="Comma 9" xfId="401"/>
    <cellStyle name="Comma 9 2" xfId="402"/>
    <cellStyle name="Currency [0] 2" xfId="403"/>
    <cellStyle name="Currency [0] 2 2" xfId="404"/>
    <cellStyle name="Currency [0] 2 3" xfId="405"/>
    <cellStyle name="Currency [1]" xfId="406"/>
    <cellStyle name="Currency [1] 2" xfId="407"/>
    <cellStyle name="Currency [2]" xfId="408"/>
    <cellStyle name="Currency [2] 10" xfId="409"/>
    <cellStyle name="Currency [2] 10 2" xfId="410"/>
    <cellStyle name="Currency [2] 11" xfId="411"/>
    <cellStyle name="Currency [2] 11 2" xfId="412"/>
    <cellStyle name="Currency [2] 2" xfId="413"/>
    <cellStyle name="Currency [2] 2 2" xfId="414"/>
    <cellStyle name="Currency [2] 2 3" xfId="415"/>
    <cellStyle name="Currency [2] 3" xfId="416"/>
    <cellStyle name="Currency [2] 3 2" xfId="417"/>
    <cellStyle name="Currency [2] 4" xfId="418"/>
    <cellStyle name="Currency [2] 4 2" xfId="419"/>
    <cellStyle name="Currency [2] 5" xfId="420"/>
    <cellStyle name="Currency [2] 5 2" xfId="421"/>
    <cellStyle name="Currency [2] 6" xfId="422"/>
    <cellStyle name="Currency [2] 6 2" xfId="423"/>
    <cellStyle name="Currency [2] 7" xfId="424"/>
    <cellStyle name="Currency [2] 7 2" xfId="425"/>
    <cellStyle name="Currency [2] 8" xfId="426"/>
    <cellStyle name="Currency [2] 8 2" xfId="427"/>
    <cellStyle name="Currency [2] 9" xfId="428"/>
    <cellStyle name="Currency [2] 9 2" xfId="429"/>
    <cellStyle name="Currency 0" xfId="430"/>
    <cellStyle name="Currency 2" xfId="431"/>
    <cellStyle name="Currency 2 2" xfId="432"/>
    <cellStyle name="Currency 2 3" xfId="433"/>
    <cellStyle name="Currency 2 3 2" xfId="434"/>
    <cellStyle name="Currency 2 3 3" xfId="435"/>
    <cellStyle name="Currency 2 4" xfId="436"/>
    <cellStyle name="Currency 2 4 2" xfId="437"/>
    <cellStyle name="Currency 2 5" xfId="438"/>
    <cellStyle name="Check Cell 2" xfId="439"/>
    <cellStyle name="DASHED" xfId="440"/>
    <cellStyle name="DASHED 2" xfId="441"/>
    <cellStyle name="Date" xfId="442"/>
    <cellStyle name="Date [d-mmm-yy]" xfId="443"/>
    <cellStyle name="Date [mm-d-yy]" xfId="444"/>
    <cellStyle name="Date [mm-d-yyyy]" xfId="445"/>
    <cellStyle name="Date [mmm-d-yyyy]" xfId="446"/>
    <cellStyle name="Date [mmm-d-yyyy] 10" xfId="447"/>
    <cellStyle name="Date [mmm-d-yyyy] 10 2" xfId="448"/>
    <cellStyle name="Date [mmm-d-yyyy] 11" xfId="449"/>
    <cellStyle name="Date [mmm-d-yyyy] 11 2" xfId="450"/>
    <cellStyle name="Date [mmm-d-yyyy] 2" xfId="451"/>
    <cellStyle name="Date [mmm-d-yyyy] 2 2" xfId="452"/>
    <cellStyle name="Date [mmm-d-yyyy] 2 3" xfId="453"/>
    <cellStyle name="Date [mmm-d-yyyy] 3" xfId="454"/>
    <cellStyle name="Date [mmm-d-yyyy] 3 2" xfId="455"/>
    <cellStyle name="Date [mmm-d-yyyy] 4" xfId="456"/>
    <cellStyle name="Date [mmm-d-yyyy] 4 2" xfId="457"/>
    <cellStyle name="Date [mmm-d-yyyy] 5" xfId="458"/>
    <cellStyle name="Date [mmm-d-yyyy] 5 2" xfId="459"/>
    <cellStyle name="Date [mmm-d-yyyy] 6" xfId="460"/>
    <cellStyle name="Date [mmm-d-yyyy] 6 2" xfId="461"/>
    <cellStyle name="Date [mmm-d-yyyy] 7" xfId="462"/>
    <cellStyle name="Date [mmm-d-yyyy] 7 2" xfId="463"/>
    <cellStyle name="Date [mmm-d-yyyy] 8" xfId="464"/>
    <cellStyle name="Date [mmm-d-yyyy] 8 2" xfId="465"/>
    <cellStyle name="Date [mmm-d-yyyy] 9" xfId="466"/>
    <cellStyle name="Date [mmm-d-yyyy] 9 2" xfId="467"/>
    <cellStyle name="Date [mmm-yy]" xfId="468"/>
    <cellStyle name="Date Aligned" xfId="469"/>
    <cellStyle name="Date_ajustes ppto2012octubre" xfId="470"/>
    <cellStyle name="Dezimal_EFT186 Test 05.05." xfId="471"/>
    <cellStyle name="dollars" xfId="472"/>
    <cellStyle name="dollars 2" xfId="473"/>
    <cellStyle name="Dotted Line" xfId="474"/>
    <cellStyle name="Encabezado 4" xfId="475"/>
    <cellStyle name="Énfasis1 2" xfId="476"/>
    <cellStyle name="Énfasis1 3" xfId="477"/>
    <cellStyle name="Énfasis2 2" xfId="478"/>
    <cellStyle name="Énfasis2 3" xfId="479"/>
    <cellStyle name="Énfasis3 2" xfId="480"/>
    <cellStyle name="Énfasis3 3" xfId="481"/>
    <cellStyle name="Énfasis4 2" xfId="482"/>
    <cellStyle name="Énfasis4 3" xfId="483"/>
    <cellStyle name="Énfasis5 2" xfId="484"/>
    <cellStyle name="Énfasis5 3" xfId="485"/>
    <cellStyle name="Énfasis6 2" xfId="486"/>
    <cellStyle name="Énfasis6 3" xfId="487"/>
    <cellStyle name="Entrada" xfId="488"/>
    <cellStyle name="Entrada 2" xfId="489"/>
    <cellStyle name="Entrada 2 2" xfId="490"/>
    <cellStyle name="Estilo 1" xfId="491"/>
    <cellStyle name="Estilo 1 2" xfId="492"/>
    <cellStyle name="Estilo 1 2 2" xfId="493"/>
    <cellStyle name="Estilo 1 3" xfId="494"/>
    <cellStyle name="Estilo 1 4" xfId="495"/>
    <cellStyle name="Euro" xfId="496"/>
    <cellStyle name="Euro 10" xfId="497"/>
    <cellStyle name="Euro 10 2" xfId="498"/>
    <cellStyle name="Euro 11" xfId="499"/>
    <cellStyle name="Euro 11 2" xfId="500"/>
    <cellStyle name="Euro 2" xfId="501"/>
    <cellStyle name="Euro 2 2" xfId="502"/>
    <cellStyle name="Euro 2 3" xfId="503"/>
    <cellStyle name="Euro 2 4" xfId="504"/>
    <cellStyle name="Euro 3" xfId="505"/>
    <cellStyle name="Euro 3 2" xfId="506"/>
    <cellStyle name="Euro 3 2 2" xfId="507"/>
    <cellStyle name="Euro 3 3" xfId="508"/>
    <cellStyle name="Euro 4" xfId="509"/>
    <cellStyle name="Euro 4 2" xfId="510"/>
    <cellStyle name="Euro 4 2 2" xfId="511"/>
    <cellStyle name="Euro 4 3" xfId="512"/>
    <cellStyle name="Euro 5" xfId="513"/>
    <cellStyle name="Euro 5 2" xfId="514"/>
    <cellStyle name="Euro 6" xfId="515"/>
    <cellStyle name="Euro 6 2" xfId="516"/>
    <cellStyle name="Euro 7" xfId="517"/>
    <cellStyle name="Euro 7 2" xfId="518"/>
    <cellStyle name="Euro 8" xfId="519"/>
    <cellStyle name="Euro 8 2" xfId="520"/>
    <cellStyle name="Euro 9" xfId="521"/>
    <cellStyle name="Euro 9 2" xfId="522"/>
    <cellStyle name="Explanatory Text 2" xfId="523"/>
    <cellStyle name="Fecha" xfId="524"/>
    <cellStyle name="Fecha 10" xfId="525"/>
    <cellStyle name="Fecha 10 2" xfId="526"/>
    <cellStyle name="Fecha 11" xfId="527"/>
    <cellStyle name="Fecha 11 2" xfId="528"/>
    <cellStyle name="Fecha 2" xfId="529"/>
    <cellStyle name="Fecha 2 2" xfId="530"/>
    <cellStyle name="Fecha 2 3" xfId="531"/>
    <cellStyle name="Fecha 3" xfId="532"/>
    <cellStyle name="Fecha 3 2" xfId="533"/>
    <cellStyle name="Fecha 4" xfId="534"/>
    <cellStyle name="Fecha 4 2" xfId="535"/>
    <cellStyle name="Fecha 5" xfId="536"/>
    <cellStyle name="Fecha 5 2" xfId="537"/>
    <cellStyle name="Fecha 6" xfId="538"/>
    <cellStyle name="Fecha 6 2" xfId="539"/>
    <cellStyle name="Fecha 7" xfId="540"/>
    <cellStyle name="Fecha 7 2" xfId="541"/>
    <cellStyle name="Fecha 8" xfId="542"/>
    <cellStyle name="Fecha 8 2" xfId="543"/>
    <cellStyle name="Fecha 9" xfId="544"/>
    <cellStyle name="Fecha 9 2" xfId="545"/>
    <cellStyle name="Fixed" xfId="546"/>
    <cellStyle name="Fixed [0]" xfId="547"/>
    <cellStyle name="Fixed [0] 10" xfId="548"/>
    <cellStyle name="Fixed [0] 10 2" xfId="549"/>
    <cellStyle name="Fixed [0] 11" xfId="550"/>
    <cellStyle name="Fixed [0] 11 2" xfId="551"/>
    <cellStyle name="Fixed [0] 2" xfId="552"/>
    <cellStyle name="Fixed [0] 2 2" xfId="553"/>
    <cellStyle name="Fixed [0] 2 3" xfId="554"/>
    <cellStyle name="Fixed [0] 3" xfId="555"/>
    <cellStyle name="Fixed [0] 3 2" xfId="556"/>
    <cellStyle name="Fixed [0] 4" xfId="557"/>
    <cellStyle name="Fixed [0] 4 2" xfId="558"/>
    <cellStyle name="Fixed [0] 5" xfId="559"/>
    <cellStyle name="Fixed [0] 5 2" xfId="560"/>
    <cellStyle name="Fixed [0] 6" xfId="561"/>
    <cellStyle name="Fixed [0] 6 2" xfId="562"/>
    <cellStyle name="Fixed [0] 7" xfId="563"/>
    <cellStyle name="Fixed [0] 7 2" xfId="564"/>
    <cellStyle name="Fixed [0] 8" xfId="565"/>
    <cellStyle name="Fixed [0] 8 2" xfId="566"/>
    <cellStyle name="Fixed [0] 9" xfId="567"/>
    <cellStyle name="Fixed [0] 9 2" xfId="568"/>
    <cellStyle name="Fixed 2" xfId="569"/>
    <cellStyle name="Fixed 3" xfId="570"/>
    <cellStyle name="Fixed 4" xfId="571"/>
    <cellStyle name="Fixed 5" xfId="572"/>
    <cellStyle name="Fixed 6" xfId="573"/>
    <cellStyle name="Fixed 7" xfId="574"/>
    <cellStyle name="Fixed 8" xfId="575"/>
    <cellStyle name="Fixed 9" xfId="576"/>
    <cellStyle name="Fixed_ajustes ppto2012octubre" xfId="577"/>
    <cellStyle name="Followed Hyperlink 2" xfId="578"/>
    <cellStyle name="font12" xfId="579"/>
    <cellStyle name="font12 2" xfId="580"/>
    <cellStyle name="font12 3" xfId="581"/>
    <cellStyle name="font14" xfId="582"/>
    <cellStyle name="font14 2" xfId="583"/>
    <cellStyle name="font14 3" xfId="584"/>
    <cellStyle name="Footnote" xfId="585"/>
    <cellStyle name="Footnote 2" xfId="586"/>
    <cellStyle name="Footnote 3" xfId="587"/>
    <cellStyle name="Good 2" xfId="588"/>
    <cellStyle name="Grey" xfId="589"/>
    <cellStyle name="Grey 2" xfId="590"/>
    <cellStyle name="Hard Percent" xfId="591"/>
    <cellStyle name="Header" xfId="592"/>
    <cellStyle name="Header 2" xfId="593"/>
    <cellStyle name="Header 3" xfId="594"/>
    <cellStyle name="Heading 1 2" xfId="595"/>
    <cellStyle name="Heading 2 2" xfId="596"/>
    <cellStyle name="Heading 2 2 2" xfId="597"/>
    <cellStyle name="Heading 2 3" xfId="598"/>
    <cellStyle name="Heading 2 3 2" xfId="599"/>
    <cellStyle name="Heading 2 4" xfId="600"/>
    <cellStyle name="Heading 3 2" xfId="601"/>
    <cellStyle name="Heading 3 2 2" xfId="602"/>
    <cellStyle name="Heading 3 3" xfId="603"/>
    <cellStyle name="Heading 3 3 2" xfId="604"/>
    <cellStyle name="Heading 3 4" xfId="605"/>
    <cellStyle name="Heading 4 2" xfId="606"/>
    <cellStyle name="Heading1" xfId="607"/>
    <cellStyle name="Heading1 2" xfId="608"/>
    <cellStyle name="Heading1 3" xfId="609"/>
    <cellStyle name="Heading2" xfId="610"/>
    <cellStyle name="Heading2 2" xfId="611"/>
    <cellStyle name="Heading2 3" xfId="612"/>
    <cellStyle name="HIGHLIGHT" xfId="613"/>
    <cellStyle name="HIGHLIGHT 2" xfId="614"/>
    <cellStyle name="HIGHLIGHT 3" xfId="615"/>
    <cellStyle name="Hyperlink 2" xfId="616"/>
    <cellStyle name="Hyperlink 3" xfId="617"/>
    <cellStyle name="Hyperlink 4" xfId="618"/>
    <cellStyle name="Hyperlink seguido" xfId="619"/>
    <cellStyle name="Hyperlink seguido 2" xfId="620"/>
    <cellStyle name="Incorrecto 2" xfId="621"/>
    <cellStyle name="Incorrecto 3" xfId="622"/>
    <cellStyle name="Input 2" xfId="623"/>
    <cellStyle name="Input 2 2" xfId="624"/>
    <cellStyle name="Input 2 2 2" xfId="625"/>
    <cellStyle name="Input 3" xfId="626"/>
    <cellStyle name="Komma [0]_MVA" xfId="627"/>
    <cellStyle name="Komma_accounts" xfId="628"/>
    <cellStyle name="l]_x000d__x000a_Path=M:\RIOCEN01_x000d__x000a_Name=Carlos Emilio Brousse_x000d__x000a_DDEApps=nsf,nsg,nsh,ntf,ns2,ors,org_x000d__x000a_SmartIcons=Todos_x000d__x000a_" xfId="629"/>
    <cellStyle name="l]_x000d__x000a_Path=M:\RIOCEN01_x000d__x000a_Name=Carlos Emilio Brousse_x000d__x000a_DDEApps=nsf,nsg,nsh,ntf,ns2,ors,org_x000d__x000a_SmartIcons=Todos_x000d__x000a_ 2" xfId="630"/>
    <cellStyle name="Linked Cell 2" xfId="631"/>
    <cellStyle name="Migliaia (0)_REPORT" xfId="632"/>
    <cellStyle name="Migliaia_REPORT" xfId="633"/>
    <cellStyle name="Millares [0,1]" xfId="634"/>
    <cellStyle name="Millares [0,1] 2" xfId="635"/>
    <cellStyle name="Millares [0,1] 2 2" xfId="636"/>
    <cellStyle name="Millares [0.0]" xfId="637"/>
    <cellStyle name="Millares [0.0] 2" xfId="638"/>
    <cellStyle name="Millares [0.0] 2 2" xfId="639"/>
    <cellStyle name="Millares [0.1]" xfId="640"/>
    <cellStyle name="Millares [0.1] 2" xfId="641"/>
    <cellStyle name="Millares [0.1] 2 2" xfId="642"/>
    <cellStyle name="Millares [1]" xfId="643"/>
    <cellStyle name="Millares [1] 2" xfId="644"/>
    <cellStyle name="Millares [1] 2 2" xfId="645"/>
    <cellStyle name="Millares [2]" xfId="646"/>
    <cellStyle name="Millares [2] 2" xfId="647"/>
    <cellStyle name="Millares [2] 2 2" xfId="648"/>
    <cellStyle name="Millares [3]" xfId="649"/>
    <cellStyle name="Millares [3] 2" xfId="650"/>
    <cellStyle name="Millares [3] 2 2" xfId="651"/>
    <cellStyle name="Millares 2" xfId="652"/>
    <cellStyle name="Millares(0)" xfId="653"/>
    <cellStyle name="Millares(0) 2" xfId="654"/>
    <cellStyle name="Millares(0) 2 2" xfId="655"/>
    <cellStyle name="Millares(1)" xfId="656"/>
    <cellStyle name="Millares(1) 2" xfId="657"/>
    <cellStyle name="Millares(1) 2 2" xfId="658"/>
    <cellStyle name="Millares[1]" xfId="659"/>
    <cellStyle name="Millares[1] 2" xfId="660"/>
    <cellStyle name="Millares[1] 2 2" xfId="661"/>
    <cellStyle name="Milliers_M3PLAN2000" xfId="662"/>
    <cellStyle name="Multiple" xfId="663"/>
    <cellStyle name="NA is zero" xfId="664"/>
    <cellStyle name="NA is zero 2" xfId="665"/>
    <cellStyle name="Neutral 2" xfId="666"/>
    <cellStyle name="Neutrale" xfId="667"/>
    <cellStyle name="Neutrale 2" xfId="668"/>
    <cellStyle name="Non_definito" xfId="669"/>
    <cellStyle name="Normaal" xfId="670"/>
    <cellStyle name="Normaal 2" xfId="671"/>
    <cellStyle name="Normal" xfId="0" builtinId="0"/>
    <cellStyle name="Normal - Style1" xfId="672"/>
    <cellStyle name="Normal - Style1 2" xfId="673"/>
    <cellStyle name="Normal - Style1 2 2" xfId="674"/>
    <cellStyle name="Normal - Style1 3" xfId="675"/>
    <cellStyle name="Normal - Style1 4" xfId="676"/>
    <cellStyle name="Normal [0]" xfId="677"/>
    <cellStyle name="Normal [0] 2" xfId="678"/>
    <cellStyle name="Normal [1]" xfId="679"/>
    <cellStyle name="Normal [1] 10" xfId="680"/>
    <cellStyle name="Normal [1] 10 2" xfId="681"/>
    <cellStyle name="Normal [1] 11" xfId="682"/>
    <cellStyle name="Normal [1] 11 2" xfId="683"/>
    <cellStyle name="Normal [1] 2" xfId="684"/>
    <cellStyle name="Normal [1] 2 2" xfId="685"/>
    <cellStyle name="Normal [1] 2 3" xfId="686"/>
    <cellStyle name="Normal [1] 3" xfId="687"/>
    <cellStyle name="Normal [1] 3 2" xfId="688"/>
    <cellStyle name="Normal [1] 4" xfId="689"/>
    <cellStyle name="Normal [1] 4 2" xfId="690"/>
    <cellStyle name="Normal [1] 5" xfId="691"/>
    <cellStyle name="Normal [1] 5 2" xfId="692"/>
    <cellStyle name="Normal [1] 6" xfId="693"/>
    <cellStyle name="Normal [1] 6 2" xfId="694"/>
    <cellStyle name="Normal [1] 7" xfId="695"/>
    <cellStyle name="Normal [1] 7 2" xfId="696"/>
    <cellStyle name="Normal [1] 8" xfId="697"/>
    <cellStyle name="Normal [1] 8 2" xfId="698"/>
    <cellStyle name="Normal [1] 9" xfId="699"/>
    <cellStyle name="Normal [1] 9 2" xfId="700"/>
    <cellStyle name="Normal [2]" xfId="701"/>
    <cellStyle name="Normal [2] 2" xfId="702"/>
    <cellStyle name="Normal [3]" xfId="703"/>
    <cellStyle name="Normal [3] 2" xfId="704"/>
    <cellStyle name="Normal 10" xfId="705"/>
    <cellStyle name="Normal 10 2" xfId="706"/>
    <cellStyle name="Normal 10 3" xfId="707"/>
    <cellStyle name="Normal 100" xfId="708"/>
    <cellStyle name="Normal 101" xfId="709"/>
    <cellStyle name="Normal 102" xfId="710"/>
    <cellStyle name="Normal 103" xfId="711"/>
    <cellStyle name="Normal 104" xfId="712"/>
    <cellStyle name="Normal 105" xfId="713"/>
    <cellStyle name="Normal 106" xfId="714"/>
    <cellStyle name="Normal 107" xfId="715"/>
    <cellStyle name="Normal 108" xfId="716"/>
    <cellStyle name="Normal 109" xfId="717"/>
    <cellStyle name="Normal 11" xfId="718"/>
    <cellStyle name="Normal 11 2" xfId="719"/>
    <cellStyle name="Normal 110" xfId="720"/>
    <cellStyle name="Normal 111" xfId="721"/>
    <cellStyle name="Normal 112" xfId="722"/>
    <cellStyle name="Normal 113" xfId="723"/>
    <cellStyle name="Normal 114" xfId="724"/>
    <cellStyle name="Normal 115" xfId="725"/>
    <cellStyle name="Normal 116" xfId="726"/>
    <cellStyle name="Normal 117" xfId="727"/>
    <cellStyle name="Normal 118" xfId="728"/>
    <cellStyle name="Normal 119" xfId="729"/>
    <cellStyle name="Normal 12" xfId="730"/>
    <cellStyle name="Normal 12 2" xfId="731"/>
    <cellStyle name="Normal 120" xfId="732"/>
    <cellStyle name="Normal 121" xfId="733"/>
    <cellStyle name="Normal 13" xfId="734"/>
    <cellStyle name="Normal 13 2" xfId="735"/>
    <cellStyle name="Normal 135" xfId="736"/>
    <cellStyle name="Normal 14" xfId="737"/>
    <cellStyle name="Normal 14 2" xfId="738"/>
    <cellStyle name="Normal 14 3" xfId="739"/>
    <cellStyle name="Normal 15" xfId="740"/>
    <cellStyle name="Normal 15 2" xfId="741"/>
    <cellStyle name="Normal 16" xfId="742"/>
    <cellStyle name="Normal 16 2" xfId="743"/>
    <cellStyle name="Normal 17" xfId="744"/>
    <cellStyle name="Normal 17 2" xfId="745"/>
    <cellStyle name="Normal 17 3" xfId="746"/>
    <cellStyle name="Normal 17 4" xfId="747"/>
    <cellStyle name="Normal 18" xfId="748"/>
    <cellStyle name="Normal 18 2" xfId="749"/>
    <cellStyle name="Normal 18 3" xfId="750"/>
    <cellStyle name="Normal 19" xfId="751"/>
    <cellStyle name="Normal 19 2" xfId="752"/>
    <cellStyle name="Normal 2" xfId="753"/>
    <cellStyle name="Normal 2 2" xfId="754"/>
    <cellStyle name="Normal 2 2 2" xfId="755"/>
    <cellStyle name="Normal 2 2 2 2" xfId="756"/>
    <cellStyle name="Normal 2 2 3" xfId="757"/>
    <cellStyle name="Normal 2 2 3 2" xfId="758"/>
    <cellStyle name="Normal 2 2 3 3" xfId="759"/>
    <cellStyle name="Normal 2 2 4" xfId="760"/>
    <cellStyle name="Normal 2 3" xfId="761"/>
    <cellStyle name="Normal 2 3 2" xfId="762"/>
    <cellStyle name="Normal 2_Análisis presupuesto x hotel ac Dic 12 11 10 a 16Ene12" xfId="763"/>
    <cellStyle name="Normal 20" xfId="764"/>
    <cellStyle name="Normal 20 2" xfId="765"/>
    <cellStyle name="Normal 20 3" xfId="766"/>
    <cellStyle name="Normal 21" xfId="767"/>
    <cellStyle name="Normal 21 2" xfId="768"/>
    <cellStyle name="Normal 22" xfId="769"/>
    <cellStyle name="Normal 22 2" xfId="770"/>
    <cellStyle name="Normal 23" xfId="771"/>
    <cellStyle name="Normal 23 2" xfId="772"/>
    <cellStyle name="Normal 24" xfId="773"/>
    <cellStyle name="Normal 24 2" xfId="774"/>
    <cellStyle name="Normal 24 2 2" xfId="775"/>
    <cellStyle name="Normal 25" xfId="776"/>
    <cellStyle name="Normal 25 2" xfId="777"/>
    <cellStyle name="Normal 25 2 2" xfId="778"/>
    <cellStyle name="Normal 25 2 2 2" xfId="779"/>
    <cellStyle name="Normal 25 2 2 3" xfId="780"/>
    <cellStyle name="Normal 25 2 3" xfId="781"/>
    <cellStyle name="Normal 25 2 3 2" xfId="782"/>
    <cellStyle name="Normal 25 2 4" xfId="783"/>
    <cellStyle name="Normal 25 3" xfId="784"/>
    <cellStyle name="Normal 25 3 2" xfId="785"/>
    <cellStyle name="Normal 26" xfId="786"/>
    <cellStyle name="Normal 26 2" xfId="787"/>
    <cellStyle name="Normal 26 2 2" xfId="788"/>
    <cellStyle name="Normal 26 2 2 2" xfId="789"/>
    <cellStyle name="Normal 26 2 2 3" xfId="790"/>
    <cellStyle name="Normal 26 2 3" xfId="791"/>
    <cellStyle name="Normal 26 2 3 2" xfId="792"/>
    <cellStyle name="Normal 26 2 4" xfId="793"/>
    <cellStyle name="Normal 27" xfId="794"/>
    <cellStyle name="Normal 27 2" xfId="795"/>
    <cellStyle name="Normal 28" xfId="796"/>
    <cellStyle name="Normal 28 2" xfId="797"/>
    <cellStyle name="Normal 29" xfId="798"/>
    <cellStyle name="Normal 29 2" xfId="799"/>
    <cellStyle name="Normal 3" xfId="800"/>
    <cellStyle name="Normal 3 10" xfId="801"/>
    <cellStyle name="Normal 3 2" xfId="802"/>
    <cellStyle name="Normal 3 2 2" xfId="803"/>
    <cellStyle name="Normal 3 2 3" xfId="804"/>
    <cellStyle name="Normal 3 2 3 2" xfId="805"/>
    <cellStyle name="Normal 3 2 4" xfId="806"/>
    <cellStyle name="Normal 3 2 5" xfId="807"/>
    <cellStyle name="Normal 3 3" xfId="808"/>
    <cellStyle name="Normal 3 3 2" xfId="809"/>
    <cellStyle name="Normal 3 4" xfId="810"/>
    <cellStyle name="Normal 3 4 2" xfId="811"/>
    <cellStyle name="Normal 3 5" xfId="812"/>
    <cellStyle name="Normal 3 5 2" xfId="813"/>
    <cellStyle name="Normal 3 6" xfId="814"/>
    <cellStyle name="Normal 3 6 2" xfId="815"/>
    <cellStyle name="Normal 3 7" xfId="816"/>
    <cellStyle name="Normal 3 7 2" xfId="817"/>
    <cellStyle name="Normal 3 8" xfId="818"/>
    <cellStyle name="Normal 3 9" xfId="819"/>
    <cellStyle name="Normal 30" xfId="820"/>
    <cellStyle name="Normal 31" xfId="821"/>
    <cellStyle name="Normal 32" xfId="822"/>
    <cellStyle name="Normal 33" xfId="823"/>
    <cellStyle name="Normal 34" xfId="824"/>
    <cellStyle name="Normal 35" xfId="825"/>
    <cellStyle name="Normal 36" xfId="826"/>
    <cellStyle name="Normal 37" xfId="827"/>
    <cellStyle name="Normal 38" xfId="828"/>
    <cellStyle name="Normal 39" xfId="829"/>
    <cellStyle name="Normal 4" xfId="830"/>
    <cellStyle name="Normal 4 2" xfId="831"/>
    <cellStyle name="Normal 4 2 2" xfId="832"/>
    <cellStyle name="Normal 4 2 3" xfId="833"/>
    <cellStyle name="Normal 4 3" xfId="834"/>
    <cellStyle name="Normal 4 4" xfId="835"/>
    <cellStyle name="Normal 4 5" xfId="836"/>
    <cellStyle name="Normal 4 6" xfId="837"/>
    <cellStyle name="Normal 40" xfId="838"/>
    <cellStyle name="Normal 41" xfId="839"/>
    <cellStyle name="Normal 42" xfId="840"/>
    <cellStyle name="Normal 43" xfId="841"/>
    <cellStyle name="Normal 44" xfId="842"/>
    <cellStyle name="Normal 45" xfId="843"/>
    <cellStyle name="Normal 46" xfId="844"/>
    <cellStyle name="Normal 47" xfId="845"/>
    <cellStyle name="Normal 48" xfId="846"/>
    <cellStyle name="Normal 49" xfId="847"/>
    <cellStyle name="Normal 5" xfId="848"/>
    <cellStyle name="Normal 5 2" xfId="849"/>
    <cellStyle name="Normal 5 2 2" xfId="850"/>
    <cellStyle name="Normal 5 3" xfId="851"/>
    <cellStyle name="Normal 5 4" xfId="852"/>
    <cellStyle name="Normal 5 5" xfId="853"/>
    <cellStyle name="Normal 50" xfId="854"/>
    <cellStyle name="Normal 50 2" xfId="855"/>
    <cellStyle name="Normal 51" xfId="856"/>
    <cellStyle name="Normal 52" xfId="857"/>
    <cellStyle name="Normal 53" xfId="858"/>
    <cellStyle name="Normal 54" xfId="859"/>
    <cellStyle name="Normal 55" xfId="860"/>
    <cellStyle name="Normal 56" xfId="861"/>
    <cellStyle name="Normal 56 2" xfId="862"/>
    <cellStyle name="Normal 57" xfId="863"/>
    <cellStyle name="Normal 58" xfId="864"/>
    <cellStyle name="Normal 59" xfId="865"/>
    <cellStyle name="Normal 6" xfId="866"/>
    <cellStyle name="Normal 6 2" xfId="867"/>
    <cellStyle name="Normal 6 2 2" xfId="868"/>
    <cellStyle name="Normal 6 2 3" xfId="869"/>
    <cellStyle name="Normal 6 3" xfId="870"/>
    <cellStyle name="Normal 6 4" xfId="871"/>
    <cellStyle name="Normal 60" xfId="872"/>
    <cellStyle name="Normal 61" xfId="873"/>
    <cellStyle name="Normal 62" xfId="874"/>
    <cellStyle name="Normal 63" xfId="875"/>
    <cellStyle name="Normal 64" xfId="876"/>
    <cellStyle name="Normal 65" xfId="877"/>
    <cellStyle name="Normal 65 2" xfId="878"/>
    <cellStyle name="Normal 65 2 2" xfId="879"/>
    <cellStyle name="Normal 66" xfId="880"/>
    <cellStyle name="Normal 67" xfId="881"/>
    <cellStyle name="Normal 67 2" xfId="882"/>
    <cellStyle name="Normal 68" xfId="883"/>
    <cellStyle name="Normal 68 2" xfId="884"/>
    <cellStyle name="Normal 69" xfId="885"/>
    <cellStyle name="Normal 69 2" xfId="886"/>
    <cellStyle name="Normal 7" xfId="887"/>
    <cellStyle name="Normal 7 2" xfId="888"/>
    <cellStyle name="Normal 7 2 2" xfId="889"/>
    <cellStyle name="Normal 7 3" xfId="890"/>
    <cellStyle name="Normal 7 4" xfId="891"/>
    <cellStyle name="Normal 7 5" xfId="892"/>
    <cellStyle name="Normal 70" xfId="893"/>
    <cellStyle name="Normal 70 2" xfId="894"/>
    <cellStyle name="Normal 71" xfId="895"/>
    <cellStyle name="Normal 71 2" xfId="896"/>
    <cellStyle name="Normal 72" xfId="897"/>
    <cellStyle name="Normal 72 2" xfId="898"/>
    <cellStyle name="Normal 73" xfId="899"/>
    <cellStyle name="Normal 74" xfId="900"/>
    <cellStyle name="Normal 75" xfId="901"/>
    <cellStyle name="Normal 76" xfId="902"/>
    <cellStyle name="Normal 77" xfId="903"/>
    <cellStyle name="Normal 78" xfId="904"/>
    <cellStyle name="Normal 79" xfId="905"/>
    <cellStyle name="Normal 8" xfId="906"/>
    <cellStyle name="Normal 8 2" xfId="907"/>
    <cellStyle name="Normal 8 3" xfId="908"/>
    <cellStyle name="Normal 8 4" xfId="909"/>
    <cellStyle name="Normal 80" xfId="910"/>
    <cellStyle name="Normal 81" xfId="911"/>
    <cellStyle name="Normal 82" xfId="912"/>
    <cellStyle name="Normal 83" xfId="913"/>
    <cellStyle name="Normal 84" xfId="914"/>
    <cellStyle name="Normal 85" xfId="915"/>
    <cellStyle name="Normal 86" xfId="916"/>
    <cellStyle name="Normal 87" xfId="917"/>
    <cellStyle name="Normal 88" xfId="918"/>
    <cellStyle name="Normal 89" xfId="919"/>
    <cellStyle name="Normal 9" xfId="920"/>
    <cellStyle name="Normal 9 2" xfId="921"/>
    <cellStyle name="Normal 9 3" xfId="922"/>
    <cellStyle name="Normal 90" xfId="923"/>
    <cellStyle name="Normal 91" xfId="924"/>
    <cellStyle name="Normal 92" xfId="925"/>
    <cellStyle name="Normal 93" xfId="926"/>
    <cellStyle name="Normal 94" xfId="927"/>
    <cellStyle name="Normal 95" xfId="928"/>
    <cellStyle name="Normal 95 2" xfId="929"/>
    <cellStyle name="Normal 96" xfId="930"/>
    <cellStyle name="Normal 97" xfId="931"/>
    <cellStyle name="Normal 98" xfId="932"/>
    <cellStyle name="Normal 99" xfId="933"/>
    <cellStyle name="Normal Bold" xfId="934"/>
    <cellStyle name="Normal Pct" xfId="935"/>
    <cellStyle name="Normal Pct 2" xfId="936"/>
    <cellStyle name="Normale 2" xfId="937"/>
    <cellStyle name="Normale 2 2" xfId="938"/>
    <cellStyle name="Normale 3" xfId="939"/>
    <cellStyle name="Normale_ANORGESTERO" xfId="940"/>
    <cellStyle name="Nota" xfId="941"/>
    <cellStyle name="Nota 2" xfId="942"/>
    <cellStyle name="Nota 2 2" xfId="943"/>
    <cellStyle name="Nota 2 3" xfId="944"/>
    <cellStyle name="Nota 3" xfId="945"/>
    <cellStyle name="Notas" xfId="946"/>
    <cellStyle name="Notas 2" xfId="947"/>
    <cellStyle name="Notas 2 2" xfId="948"/>
    <cellStyle name="Notas 2 2 2" xfId="949"/>
    <cellStyle name="Notas 2 2 3" xfId="950"/>
    <cellStyle name="Notas 2 2 4" xfId="951"/>
    <cellStyle name="Notas 2 3" xfId="952"/>
    <cellStyle name="Notas 2 4" xfId="953"/>
    <cellStyle name="Notas 2 5" xfId="954"/>
    <cellStyle name="Notas 3" xfId="955"/>
    <cellStyle name="Notas 3 2" xfId="956"/>
    <cellStyle name="Notas 3 2 2" xfId="957"/>
    <cellStyle name="Notas 3 3" xfId="958"/>
    <cellStyle name="Notas 3 4" xfId="959"/>
    <cellStyle name="Notas 3 5" xfId="960"/>
    <cellStyle name="Notas 4" xfId="961"/>
    <cellStyle name="Notas 4 2" xfId="962"/>
    <cellStyle name="Notas 4 2 2" xfId="963"/>
    <cellStyle name="Notas 4 3" xfId="964"/>
    <cellStyle name="Notas 5" xfId="965"/>
    <cellStyle name="Notas 5 2" xfId="966"/>
    <cellStyle name="Notas 5 2 2" xfId="967"/>
    <cellStyle name="Notas 5 3" xfId="968"/>
    <cellStyle name="Notas 6" xfId="969"/>
    <cellStyle name="Notas 6 2" xfId="970"/>
    <cellStyle name="Notas 6 2 2" xfId="971"/>
    <cellStyle name="Notas 6 3" xfId="972"/>
    <cellStyle name="Notas 7" xfId="973"/>
    <cellStyle name="Note 2" xfId="974"/>
    <cellStyle name="Note 2 2" xfId="975"/>
    <cellStyle name="Note 2 2 2" xfId="976"/>
    <cellStyle name="Note 2 2 3" xfId="977"/>
    <cellStyle name="Note 2 3" xfId="978"/>
    <cellStyle name="Note 2 3 2" xfId="979"/>
    <cellStyle name="Note 2 4" xfId="980"/>
    <cellStyle name="Note 2 5" xfId="981"/>
    <cellStyle name="Note 3" xfId="982"/>
    <cellStyle name="Note 3 2" xfId="983"/>
    <cellStyle name="Note 3 2 2" xfId="984"/>
    <cellStyle name="Note 3 2 2 2" xfId="985"/>
    <cellStyle name="Note 3 2 2 2 2" xfId="986"/>
    <cellStyle name="Note 3 2 2 3" xfId="987"/>
    <cellStyle name="Note 3 2 3" xfId="988"/>
    <cellStyle name="Note 3 2 3 2" xfId="989"/>
    <cellStyle name="Note 3 2 4" xfId="990"/>
    <cellStyle name="Note 3 3" xfId="991"/>
    <cellStyle name="Note 3 3 2" xfId="992"/>
    <cellStyle name="Note 3 3 2 2" xfId="993"/>
    <cellStyle name="Note 3 3 3" xfId="994"/>
    <cellStyle name="Note 3 4" xfId="995"/>
    <cellStyle name="Note 3 4 2" xfId="996"/>
    <cellStyle name="Note 3 5" xfId="997"/>
    <cellStyle name="Note 3 6" xfId="998"/>
    <cellStyle name="NPPESalesPct" xfId="999"/>
    <cellStyle name="NPPESalesPct 2" xfId="1000"/>
    <cellStyle name="NPPESalesPct 2 2" xfId="1001"/>
    <cellStyle name="NPPESalesPct 3" xfId="1002"/>
    <cellStyle name="number" xfId="1003"/>
    <cellStyle name="Number [Red,###,##]" xfId="1004"/>
    <cellStyle name="Number [Red,###,##] 2" xfId="1005"/>
    <cellStyle name="number 10" xfId="1006"/>
    <cellStyle name="number 11" xfId="1007"/>
    <cellStyle name="number 12" xfId="1008"/>
    <cellStyle name="number 13" xfId="1009"/>
    <cellStyle name="number 14" xfId="1010"/>
    <cellStyle name="number 15" xfId="1011"/>
    <cellStyle name="number 16" xfId="1012"/>
    <cellStyle name="number 17" xfId="1013"/>
    <cellStyle name="number 18" xfId="1014"/>
    <cellStyle name="number 19" xfId="1015"/>
    <cellStyle name="number 2" xfId="1016"/>
    <cellStyle name="number 20" xfId="1017"/>
    <cellStyle name="number 21" xfId="1018"/>
    <cellStyle name="number 22" xfId="1019"/>
    <cellStyle name="number 23" xfId="1020"/>
    <cellStyle name="number 24" xfId="1021"/>
    <cellStyle name="number 25" xfId="1022"/>
    <cellStyle name="number 26" xfId="1023"/>
    <cellStyle name="number 27" xfId="1024"/>
    <cellStyle name="number 28" xfId="1025"/>
    <cellStyle name="number 29" xfId="1026"/>
    <cellStyle name="number 3" xfId="1027"/>
    <cellStyle name="number 30" xfId="1028"/>
    <cellStyle name="number 31" xfId="1029"/>
    <cellStyle name="number 32" xfId="1030"/>
    <cellStyle name="number 33" xfId="1031"/>
    <cellStyle name="number 34" xfId="1032"/>
    <cellStyle name="number 35" xfId="1033"/>
    <cellStyle name="number 36" xfId="1034"/>
    <cellStyle name="number 37" xfId="1035"/>
    <cellStyle name="number 38" xfId="1036"/>
    <cellStyle name="number 39" xfId="1037"/>
    <cellStyle name="number 4" xfId="1038"/>
    <cellStyle name="number 40" xfId="1039"/>
    <cellStyle name="number 41" xfId="1040"/>
    <cellStyle name="number 42" xfId="1041"/>
    <cellStyle name="number 43" xfId="1042"/>
    <cellStyle name="number 44" xfId="1043"/>
    <cellStyle name="number 45" xfId="1044"/>
    <cellStyle name="number 46" xfId="1045"/>
    <cellStyle name="number 47" xfId="1046"/>
    <cellStyle name="number 48" xfId="1047"/>
    <cellStyle name="number 49" xfId="1048"/>
    <cellStyle name="number 5" xfId="1049"/>
    <cellStyle name="number 50" xfId="1050"/>
    <cellStyle name="number 51" xfId="1051"/>
    <cellStyle name="number 52" xfId="1052"/>
    <cellStyle name="number 53" xfId="1053"/>
    <cellStyle name="number 54" xfId="1054"/>
    <cellStyle name="number 55" xfId="1055"/>
    <cellStyle name="number 56" xfId="1056"/>
    <cellStyle name="number 57" xfId="1057"/>
    <cellStyle name="number 58" xfId="1058"/>
    <cellStyle name="number 59" xfId="1059"/>
    <cellStyle name="number 6" xfId="1060"/>
    <cellStyle name="number 60" xfId="1061"/>
    <cellStyle name="number 61" xfId="1062"/>
    <cellStyle name="number 62" xfId="1063"/>
    <cellStyle name="number 63" xfId="1064"/>
    <cellStyle name="number 64" xfId="1065"/>
    <cellStyle name="number 65" xfId="1066"/>
    <cellStyle name="number 66" xfId="1067"/>
    <cellStyle name="number 67" xfId="1068"/>
    <cellStyle name="number 68" xfId="1069"/>
    <cellStyle name="number 69" xfId="1070"/>
    <cellStyle name="number 7" xfId="1071"/>
    <cellStyle name="number 70" xfId="1072"/>
    <cellStyle name="number 71" xfId="1073"/>
    <cellStyle name="number 72" xfId="1074"/>
    <cellStyle name="number 73" xfId="1075"/>
    <cellStyle name="number 74" xfId="1076"/>
    <cellStyle name="number 75" xfId="1077"/>
    <cellStyle name="number 76" xfId="1078"/>
    <cellStyle name="number 77" xfId="1079"/>
    <cellStyle name="number 78" xfId="1080"/>
    <cellStyle name="number 79" xfId="1081"/>
    <cellStyle name="number 8" xfId="1082"/>
    <cellStyle name="number 80" xfId="1083"/>
    <cellStyle name="number 81" xfId="1084"/>
    <cellStyle name="number 82" xfId="1085"/>
    <cellStyle name="number 83" xfId="1086"/>
    <cellStyle name="number 84" xfId="1087"/>
    <cellStyle name="number 85" xfId="1088"/>
    <cellStyle name="number 86" xfId="1089"/>
    <cellStyle name="number 87" xfId="1090"/>
    <cellStyle name="number 9" xfId="1091"/>
    <cellStyle name="number_BALANZAS FINALES 2010" xfId="1092"/>
    <cellStyle name="NWI%S" xfId="1093"/>
    <cellStyle name="NWI%S 2" xfId="1094"/>
    <cellStyle name="NWI%S 2 2" xfId="1095"/>
    <cellStyle name="NWI%S 3" xfId="1096"/>
    <cellStyle name="Output 2" xfId="1097"/>
    <cellStyle name="Output 2 2" xfId="1098"/>
    <cellStyle name="Output 2 2 2" xfId="1099"/>
    <cellStyle name="Output 3" xfId="1100"/>
    <cellStyle name="Page Number" xfId="1101"/>
    <cellStyle name="pc1" xfId="1102"/>
    <cellStyle name="pc1 2" xfId="1103"/>
    <cellStyle name="Percent" xfId="1104" builtinId="5"/>
    <cellStyle name="Percent (0)" xfId="1105"/>
    <cellStyle name="Percent (0) 2" xfId="1106"/>
    <cellStyle name="Percent (0) 3" xfId="1107"/>
    <cellStyle name="Percent (0) 3 2" xfId="1108"/>
    <cellStyle name="Percent (0) 3 2 2" xfId="1109"/>
    <cellStyle name="Percent [0]" xfId="1110"/>
    <cellStyle name="Percent [0] 10" xfId="1111"/>
    <cellStyle name="Percent [0] 10 2" xfId="1112"/>
    <cellStyle name="Percent [0] 11" xfId="1113"/>
    <cellStyle name="Percent [0] 11 2" xfId="1114"/>
    <cellStyle name="Percent [0] 2" xfId="1115"/>
    <cellStyle name="Percent [0] 2 2" xfId="1116"/>
    <cellStyle name="Percent [0] 2 3" xfId="1117"/>
    <cellStyle name="Percent [0] 3" xfId="1118"/>
    <cellStyle name="Percent [0] 3 2" xfId="1119"/>
    <cellStyle name="Percent [0] 4" xfId="1120"/>
    <cellStyle name="Percent [0] 4 2" xfId="1121"/>
    <cellStyle name="Percent [0] 5" xfId="1122"/>
    <cellStyle name="Percent [0] 5 2" xfId="1123"/>
    <cellStyle name="Percent [0] 6" xfId="1124"/>
    <cellStyle name="Percent [0] 6 2" xfId="1125"/>
    <cellStyle name="Percent [0] 7" xfId="1126"/>
    <cellStyle name="Percent [0] 7 2" xfId="1127"/>
    <cellStyle name="Percent [0] 8" xfId="1128"/>
    <cellStyle name="Percent [0] 8 2" xfId="1129"/>
    <cellStyle name="Percent [0] 9" xfId="1130"/>
    <cellStyle name="Percent [0] 9 2" xfId="1131"/>
    <cellStyle name="Percent [1]" xfId="1132"/>
    <cellStyle name="Percent [1] 2" xfId="1133"/>
    <cellStyle name="Percent [2]" xfId="1134"/>
    <cellStyle name="Percent [2] 10" xfId="1135"/>
    <cellStyle name="Percent [2] 10 2" xfId="1136"/>
    <cellStyle name="Percent [2] 11" xfId="1137"/>
    <cellStyle name="Percent [2] 11 2" xfId="1138"/>
    <cellStyle name="Percent [2] 2" xfId="1139"/>
    <cellStyle name="Percent [2] 2 2" xfId="1140"/>
    <cellStyle name="Percent [2] 2 3" xfId="1141"/>
    <cellStyle name="Percent [2] 3" xfId="1142"/>
    <cellStyle name="Percent [2] 3 2" xfId="1143"/>
    <cellStyle name="Percent [2] 4" xfId="1144"/>
    <cellStyle name="Percent [2] 4 2" xfId="1145"/>
    <cellStyle name="Percent [2] 5" xfId="1146"/>
    <cellStyle name="Percent [2] 5 2" xfId="1147"/>
    <cellStyle name="Percent [2] 6" xfId="1148"/>
    <cellStyle name="Percent [2] 6 2" xfId="1149"/>
    <cellStyle name="Percent [2] 7" xfId="1150"/>
    <cellStyle name="Percent [2] 7 2" xfId="1151"/>
    <cellStyle name="Percent [2] 8" xfId="1152"/>
    <cellStyle name="Percent [2] 8 2" xfId="1153"/>
    <cellStyle name="Percent [2] 9" xfId="1154"/>
    <cellStyle name="Percent [2] 9 2" xfId="1155"/>
    <cellStyle name="Percent 10" xfId="1156"/>
    <cellStyle name="Percent 10 2" xfId="1157"/>
    <cellStyle name="Percent 10 3" xfId="1158"/>
    <cellStyle name="Percent 11" xfId="1159"/>
    <cellStyle name="Percent 11 2" xfId="1160"/>
    <cellStyle name="Percent 11 3" xfId="1161"/>
    <cellStyle name="Percent 12" xfId="1162"/>
    <cellStyle name="Percent 12 2" xfId="1163"/>
    <cellStyle name="Percent 13" xfId="1164"/>
    <cellStyle name="Percent 13 2" xfId="1165"/>
    <cellStyle name="Percent 14" xfId="1166"/>
    <cellStyle name="Percent 14 2" xfId="1167"/>
    <cellStyle name="Percent 15" xfId="1168"/>
    <cellStyle name="Percent 15 2" xfId="1169"/>
    <cellStyle name="Percent 16" xfId="1170"/>
    <cellStyle name="Percent 16 2" xfId="1171"/>
    <cellStyle name="Percent 17" xfId="1172"/>
    <cellStyle name="Percent 17 2" xfId="1173"/>
    <cellStyle name="Percent 18" xfId="1174"/>
    <cellStyle name="Percent 18 2" xfId="1175"/>
    <cellStyle name="Percent 18 2 2" xfId="1176"/>
    <cellStyle name="Percent 18 2 3" xfId="1177"/>
    <cellStyle name="Percent 18 2 4" xfId="1178"/>
    <cellStyle name="Percent 18 3" xfId="1179"/>
    <cellStyle name="Percent 18 3 2" xfId="1180"/>
    <cellStyle name="Percent 18 4" xfId="1181"/>
    <cellStyle name="Percent 18 5" xfId="1182"/>
    <cellStyle name="Percent 19" xfId="1183"/>
    <cellStyle name="Percent 19 2" xfId="1184"/>
    <cellStyle name="Percent 19 2 2" xfId="1185"/>
    <cellStyle name="Percent 19 2 3" xfId="1186"/>
    <cellStyle name="Percent 19 2 4" xfId="1187"/>
    <cellStyle name="Percent 19 3" xfId="1188"/>
    <cellStyle name="Percent 2" xfId="1189"/>
    <cellStyle name="Percent 2 2" xfId="1190"/>
    <cellStyle name="Percent 2 3" xfId="1191"/>
    <cellStyle name="Percent 2 3 2" xfId="1192"/>
    <cellStyle name="Percent 2 4" xfId="1193"/>
    <cellStyle name="Percent 2 4 2" xfId="1194"/>
    <cellStyle name="Percent 2 4 3" xfId="1195"/>
    <cellStyle name="Percent 2 4 4" xfId="1196"/>
    <cellStyle name="Percent 2 5" xfId="1197"/>
    <cellStyle name="Percent 2 6" xfId="1198"/>
    <cellStyle name="Percent 2 6 2" xfId="1199"/>
    <cellStyle name="Percent 2 6 3" xfId="1200"/>
    <cellStyle name="Percent 20" xfId="1201"/>
    <cellStyle name="Percent 20 2" xfId="1202"/>
    <cellStyle name="Percent 20 2 2" xfId="1203"/>
    <cellStyle name="Percent 20 2 3" xfId="1204"/>
    <cellStyle name="Percent 20 2 4" xfId="1205"/>
    <cellStyle name="Percent 20 3" xfId="1206"/>
    <cellStyle name="Percent 21" xfId="1207"/>
    <cellStyle name="Percent 21 2" xfId="1208"/>
    <cellStyle name="Percent 21 2 2" xfId="1209"/>
    <cellStyle name="Percent 21 2 3" xfId="1210"/>
    <cellStyle name="Percent 21 2 4" xfId="1211"/>
    <cellStyle name="Percent 21 3" xfId="1212"/>
    <cellStyle name="Percent 22" xfId="1213"/>
    <cellStyle name="Percent 22 2" xfId="1214"/>
    <cellStyle name="Percent 22 2 2" xfId="1215"/>
    <cellStyle name="Percent 22 2 3" xfId="1216"/>
    <cellStyle name="Percent 22 2 4" xfId="1217"/>
    <cellStyle name="Percent 22 3" xfId="1218"/>
    <cellStyle name="Percent 23" xfId="1219"/>
    <cellStyle name="Percent 23 2" xfId="1220"/>
    <cellStyle name="Percent 23 2 2" xfId="1221"/>
    <cellStyle name="Percent 23 2 3" xfId="1222"/>
    <cellStyle name="Percent 23 2 4" xfId="1223"/>
    <cellStyle name="Percent 23 3" xfId="1224"/>
    <cellStyle name="Percent 24" xfId="1225"/>
    <cellStyle name="Percent 24 2" xfId="1226"/>
    <cellStyle name="Percent 24 3" xfId="1227"/>
    <cellStyle name="Percent 25" xfId="1228"/>
    <cellStyle name="Percent 25 2" xfId="1229"/>
    <cellStyle name="Percent 25 3" xfId="1230"/>
    <cellStyle name="Percent 26" xfId="1231"/>
    <cellStyle name="Percent 26 2" xfId="1232"/>
    <cellStyle name="Percent 26 3" xfId="1233"/>
    <cellStyle name="Percent 26 4" xfId="1234"/>
    <cellStyle name="Percent 26 5" xfId="1235"/>
    <cellStyle name="Percent 27" xfId="1236"/>
    <cellStyle name="Percent 27 2" xfId="1237"/>
    <cellStyle name="Percent 28" xfId="1238"/>
    <cellStyle name="Percent 28 2" xfId="1239"/>
    <cellStyle name="Percent 28 3" xfId="1240"/>
    <cellStyle name="Percent 28 4" xfId="1241"/>
    <cellStyle name="Percent 29" xfId="1242"/>
    <cellStyle name="Percent 29 2" xfId="1243"/>
    <cellStyle name="Percent 29 3" xfId="1244"/>
    <cellStyle name="Percent 29 4" xfId="1245"/>
    <cellStyle name="Percent 3" xfId="1246"/>
    <cellStyle name="Percent 3 2" xfId="1247"/>
    <cellStyle name="Percent 3 3" xfId="1248"/>
    <cellStyle name="Percent 30" xfId="1249"/>
    <cellStyle name="Percent 30 2" xfId="1250"/>
    <cellStyle name="Percent 30 3" xfId="1251"/>
    <cellStyle name="Percent 30 4" xfId="1252"/>
    <cellStyle name="Percent 31" xfId="1253"/>
    <cellStyle name="Percent 31 2" xfId="1254"/>
    <cellStyle name="Percent 31 3" xfId="1255"/>
    <cellStyle name="Percent 31 4" xfId="1256"/>
    <cellStyle name="Percent 32" xfId="1257"/>
    <cellStyle name="Percent 32 2" xfId="1258"/>
    <cellStyle name="Percent 32 3" xfId="1259"/>
    <cellStyle name="Percent 32 4" xfId="1260"/>
    <cellStyle name="Percent 33" xfId="1261"/>
    <cellStyle name="Percent 33 2" xfId="1262"/>
    <cellStyle name="Percent 33 3" xfId="1263"/>
    <cellStyle name="Percent 34" xfId="1264"/>
    <cellStyle name="Percent 34 2" xfId="1265"/>
    <cellStyle name="Percent 35" xfId="1266"/>
    <cellStyle name="Percent 35 2" xfId="1267"/>
    <cellStyle name="Percent 35 2 2" xfId="1268"/>
    <cellStyle name="Percent 35 3" xfId="1269"/>
    <cellStyle name="Percent 36" xfId="1270"/>
    <cellStyle name="Percent 36 2" xfId="1271"/>
    <cellStyle name="Percent 36 3" xfId="1272"/>
    <cellStyle name="Percent 37" xfId="1273"/>
    <cellStyle name="Percent 38" xfId="1274"/>
    <cellStyle name="Percent 38 2" xfId="1275"/>
    <cellStyle name="Percent 39" xfId="1276"/>
    <cellStyle name="Percent 39 2" xfId="1277"/>
    <cellStyle name="Percent 4" xfId="1278"/>
    <cellStyle name="Percent 4 2" xfId="1279"/>
    <cellStyle name="Percent 4 3" xfId="1280"/>
    <cellStyle name="Percent 40" xfId="1281"/>
    <cellStyle name="Percent 40 2" xfId="1282"/>
    <cellStyle name="Percent 41" xfId="1283"/>
    <cellStyle name="Percent 42" xfId="1284"/>
    <cellStyle name="Percent 43" xfId="1285"/>
    <cellStyle name="Percent 44" xfId="1286"/>
    <cellStyle name="Percent 45" xfId="1287"/>
    <cellStyle name="Percent 46" xfId="1288"/>
    <cellStyle name="Percent 47" xfId="1289"/>
    <cellStyle name="Percent 48" xfId="1290"/>
    <cellStyle name="Percent 49" xfId="1291"/>
    <cellStyle name="Percent 5" xfId="1292"/>
    <cellStyle name="Percent 5 2" xfId="1293"/>
    <cellStyle name="Percent 5 2 2" xfId="1294"/>
    <cellStyle name="Percent 5 2 2 2" xfId="1295"/>
    <cellStyle name="Percent 5 2 3" xfId="1296"/>
    <cellStyle name="Percent 5 2 4" xfId="1297"/>
    <cellStyle name="Percent 5 3" xfId="1298"/>
    <cellStyle name="Percent 5 4" xfId="1299"/>
    <cellStyle name="Percent 5 4 2" xfId="1300"/>
    <cellStyle name="Percent 5 4 3" xfId="1301"/>
    <cellStyle name="Percent 5 5" xfId="1302"/>
    <cellStyle name="Percent 5 5 2" xfId="1303"/>
    <cellStyle name="Percent 5 6" xfId="1304"/>
    <cellStyle name="Percent 50" xfId="1305"/>
    <cellStyle name="Percent 51" xfId="1306"/>
    <cellStyle name="Percent 6" xfId="1307"/>
    <cellStyle name="Percent 6 2" xfId="1308"/>
    <cellStyle name="Percent 6 2 2" xfId="1309"/>
    <cellStyle name="Percent 6 3" xfId="1310"/>
    <cellStyle name="Percent 6 3 2" xfId="1311"/>
    <cellStyle name="Percent 6 4" xfId="1312"/>
    <cellStyle name="Percent 6 5" xfId="1313"/>
    <cellStyle name="Percent 7" xfId="1314"/>
    <cellStyle name="Percent 7 2" xfId="1315"/>
    <cellStyle name="Percent 7 2 2" xfId="1316"/>
    <cellStyle name="Percent 7 2 3" xfId="1317"/>
    <cellStyle name="Percent 7 2 4" xfId="1318"/>
    <cellStyle name="Percent 7 3" xfId="1319"/>
    <cellStyle name="Percent 8" xfId="1320"/>
    <cellStyle name="Percent 8 2" xfId="1321"/>
    <cellStyle name="Percent 9" xfId="1322"/>
    <cellStyle name="Percent 9 2" xfId="1323"/>
    <cellStyle name="Percent 9 3" xfId="1324"/>
    <cellStyle name="Percent(0)" xfId="1325"/>
    <cellStyle name="Percent(0) 2" xfId="1326"/>
    <cellStyle name="Percent(0) 3" xfId="1327"/>
    <cellStyle name="Percent(0) 3 2" xfId="1328"/>
    <cellStyle name="Percent(0) 3 2 2" xfId="1329"/>
    <cellStyle name="PercentSales" xfId="1330"/>
    <cellStyle name="PercentSales 2" xfId="1331"/>
    <cellStyle name="PercentSales 2 2" xfId="1332"/>
    <cellStyle name="PercentSales 3" xfId="1333"/>
    <cellStyle name="Percentuale 2" xfId="1334"/>
    <cellStyle name="Porcentaje 2" xfId="1335"/>
    <cellStyle name="Porcentaje 2 2" xfId="1336"/>
    <cellStyle name="Porcentual %" xfId="1337"/>
    <cellStyle name="Porcentual % 10" xfId="1338"/>
    <cellStyle name="Porcentual % 10 2" xfId="1339"/>
    <cellStyle name="Porcentual % 11" xfId="1340"/>
    <cellStyle name="Porcentual % 11 2" xfId="1341"/>
    <cellStyle name="Porcentual % 2" xfId="1342"/>
    <cellStyle name="Porcentual % 2 2" xfId="1343"/>
    <cellStyle name="Porcentual % 2 3" xfId="1344"/>
    <cellStyle name="Porcentual % 3" xfId="1345"/>
    <cellStyle name="Porcentual % 3 2" xfId="1346"/>
    <cellStyle name="Porcentual % 4" xfId="1347"/>
    <cellStyle name="Porcentual % 4 2" xfId="1348"/>
    <cellStyle name="Porcentual % 5" xfId="1349"/>
    <cellStyle name="Porcentual % 5 2" xfId="1350"/>
    <cellStyle name="Porcentual % 6" xfId="1351"/>
    <cellStyle name="Porcentual % 6 2" xfId="1352"/>
    <cellStyle name="Porcentual % 7" xfId="1353"/>
    <cellStyle name="Porcentual % 7 2" xfId="1354"/>
    <cellStyle name="Porcentual % 8" xfId="1355"/>
    <cellStyle name="Porcentual % 8 2" xfId="1356"/>
    <cellStyle name="Porcentual % 9" xfId="1357"/>
    <cellStyle name="Porcentual % 9 2" xfId="1358"/>
    <cellStyle name="Porcentual %,%%" xfId="1359"/>
    <cellStyle name="Porcentual %,%% 10" xfId="1360"/>
    <cellStyle name="Porcentual %,%% 10 2" xfId="1361"/>
    <cellStyle name="Porcentual %,%% 11" xfId="1362"/>
    <cellStyle name="Porcentual %,%% 11 2" xfId="1363"/>
    <cellStyle name="Porcentual %,%% 2" xfId="1364"/>
    <cellStyle name="Porcentual %,%% 2 2" xfId="1365"/>
    <cellStyle name="Porcentual %,%% 2 3" xfId="1366"/>
    <cellStyle name="Porcentual %,%% 3" xfId="1367"/>
    <cellStyle name="Porcentual %,%% 3 2" xfId="1368"/>
    <cellStyle name="Porcentual %,%% 4" xfId="1369"/>
    <cellStyle name="Porcentual %,%% 4 2" xfId="1370"/>
    <cellStyle name="Porcentual %,%% 5" xfId="1371"/>
    <cellStyle name="Porcentual %,%% 5 2" xfId="1372"/>
    <cellStyle name="Porcentual %,%% 6" xfId="1373"/>
    <cellStyle name="Porcentual %,%% 6 2" xfId="1374"/>
    <cellStyle name="Porcentual %,%% 7" xfId="1375"/>
    <cellStyle name="Porcentual %,%% 7 2" xfId="1376"/>
    <cellStyle name="Porcentual %,%% 8" xfId="1377"/>
    <cellStyle name="Porcentual %,%% 8 2" xfId="1378"/>
    <cellStyle name="Porcentual %,%% 9" xfId="1379"/>
    <cellStyle name="Porcentual %,%% 9 2" xfId="1380"/>
    <cellStyle name="Porcentual 2" xfId="1381"/>
    <cellStyle name="Red font" xfId="1382"/>
    <cellStyle name="Resaltar" xfId="1383"/>
    <cellStyle name="Resaltar 2" xfId="1384"/>
    <cellStyle name="Resaltar 3" xfId="1385"/>
    <cellStyle name="Resaltar1" xfId="1386"/>
    <cellStyle name="Resaltar1 2" xfId="1387"/>
    <cellStyle name="Resaltar1 3" xfId="1388"/>
    <cellStyle name="Salida 2" xfId="1389"/>
    <cellStyle name="Salida 2 2" xfId="1390"/>
    <cellStyle name="Salida 3" xfId="1391"/>
    <cellStyle name="Salida 3 2" xfId="1392"/>
    <cellStyle name="Salida 4" xfId="1393"/>
    <cellStyle name="Salida 4 2" xfId="1394"/>
    <cellStyle name="SAPBEXaggData" xfId="1395"/>
    <cellStyle name="SAPBEXaggData 2" xfId="1396"/>
    <cellStyle name="SAPBEXaggData 2 2" xfId="1397"/>
    <cellStyle name="SAPBEXaggDataEmph" xfId="1398"/>
    <cellStyle name="SAPBEXaggDataEmph 2" xfId="1399"/>
    <cellStyle name="SAPBEXaggDataEmph 2 2" xfId="1400"/>
    <cellStyle name="SAPBEXaggItem" xfId="1401"/>
    <cellStyle name="SAPBEXaggItem 2" xfId="1402"/>
    <cellStyle name="SAPBEXaggItem 2 2" xfId="1403"/>
    <cellStyle name="SAPBEXchaText" xfId="1404"/>
    <cellStyle name="SAPBEXexcBad7" xfId="1405"/>
    <cellStyle name="SAPBEXexcBad7 2" xfId="1406"/>
    <cellStyle name="SAPBEXexcBad7 2 2" xfId="1407"/>
    <cellStyle name="SAPBEXexcBad8" xfId="1408"/>
    <cellStyle name="SAPBEXexcBad8 2" xfId="1409"/>
    <cellStyle name="SAPBEXexcBad8 2 2" xfId="1410"/>
    <cellStyle name="SAPBEXexcBad9" xfId="1411"/>
    <cellStyle name="SAPBEXexcBad9 2" xfId="1412"/>
    <cellStyle name="SAPBEXexcBad9 2 2" xfId="1413"/>
    <cellStyle name="SAPBEXexcCritical4" xfId="1414"/>
    <cellStyle name="SAPBEXexcCritical4 2" xfId="1415"/>
    <cellStyle name="SAPBEXexcCritical4 2 2" xfId="1416"/>
    <cellStyle name="SAPBEXexcCritical5" xfId="1417"/>
    <cellStyle name="SAPBEXexcCritical5 2" xfId="1418"/>
    <cellStyle name="SAPBEXexcCritical5 2 2" xfId="1419"/>
    <cellStyle name="SAPBEXexcCritical6" xfId="1420"/>
    <cellStyle name="SAPBEXexcCritical6 2" xfId="1421"/>
    <cellStyle name="SAPBEXexcCritical6 2 2" xfId="1422"/>
    <cellStyle name="SAPBEXexcGood1" xfId="1423"/>
    <cellStyle name="SAPBEXexcGood1 2" xfId="1424"/>
    <cellStyle name="SAPBEXexcGood1 2 2" xfId="1425"/>
    <cellStyle name="SAPBEXexcGood2" xfId="1426"/>
    <cellStyle name="SAPBEXexcGood2 2" xfId="1427"/>
    <cellStyle name="SAPBEXexcGood2 2 2" xfId="1428"/>
    <cellStyle name="SAPBEXexcGood3" xfId="1429"/>
    <cellStyle name="SAPBEXexcGood3 2" xfId="1430"/>
    <cellStyle name="SAPBEXexcGood3 2 2" xfId="1431"/>
    <cellStyle name="SAPBEXfilterDrill" xfId="1432"/>
    <cellStyle name="SAPBEXfilterItem" xfId="1433"/>
    <cellStyle name="SAPBEXfilterText" xfId="1434"/>
    <cellStyle name="SAPBEXformats" xfId="1435"/>
    <cellStyle name="SAPBEXformats 2" xfId="1436"/>
    <cellStyle name="SAPBEXformats 2 2" xfId="1437"/>
    <cellStyle name="SAPBEXheaderItem" xfId="1438"/>
    <cellStyle name="SAPBEXheaderItem 2" xfId="1439"/>
    <cellStyle name="SAPBEXheaderText" xfId="1440"/>
    <cellStyle name="SAPBEXheaderText 2" xfId="1441"/>
    <cellStyle name="SAPBEXresData" xfId="1442"/>
    <cellStyle name="SAPBEXresData 2" xfId="1443"/>
    <cellStyle name="SAPBEXresData 2 2" xfId="1444"/>
    <cellStyle name="SAPBEXresDataEmph" xfId="1445"/>
    <cellStyle name="SAPBEXresDataEmph 2" xfId="1446"/>
    <cellStyle name="SAPBEXresDataEmph 2 2" xfId="1447"/>
    <cellStyle name="SAPBEXresItem" xfId="1448"/>
    <cellStyle name="SAPBEXresItem 2" xfId="1449"/>
    <cellStyle name="SAPBEXresItem 2 2" xfId="1450"/>
    <cellStyle name="SAPBEXstdData" xfId="1451"/>
    <cellStyle name="SAPBEXstdData 2" xfId="1452"/>
    <cellStyle name="SAPBEXstdData 2 2" xfId="1453"/>
    <cellStyle name="SAPBEXstdDataEmph" xfId="1454"/>
    <cellStyle name="SAPBEXstdDataEmph 2" xfId="1455"/>
    <cellStyle name="SAPBEXstdDataEmph 2 2" xfId="1456"/>
    <cellStyle name="SAPBEXstdItem" xfId="1457"/>
    <cellStyle name="SAPBEXstdItem 2" xfId="1458"/>
    <cellStyle name="SAPBEXstdItem 2 2" xfId="1459"/>
    <cellStyle name="SAPBEXtitle" xfId="1460"/>
    <cellStyle name="SAPBEXtitle 2" xfId="1461"/>
    <cellStyle name="SAPBEXtitle 2 2" xfId="1462"/>
    <cellStyle name="SAPBEXundefined" xfId="1463"/>
    <cellStyle name="SAPBEXundefined 2" xfId="1464"/>
    <cellStyle name="SAPBEXundefined 2 2" xfId="1465"/>
    <cellStyle name="Simple" xfId="1466"/>
    <cellStyle name="Simple 10" xfId="1467"/>
    <cellStyle name="Simple 10 2" xfId="1468"/>
    <cellStyle name="Simple 11" xfId="1469"/>
    <cellStyle name="Simple 11 2" xfId="1470"/>
    <cellStyle name="Simple 2" xfId="1471"/>
    <cellStyle name="Simple 2 2" xfId="1472"/>
    <cellStyle name="Simple 2 3" xfId="1473"/>
    <cellStyle name="Simple 3" xfId="1474"/>
    <cellStyle name="Simple 3 2" xfId="1475"/>
    <cellStyle name="Simple 4" xfId="1476"/>
    <cellStyle name="Simple 4 2" xfId="1477"/>
    <cellStyle name="Simple 5" xfId="1478"/>
    <cellStyle name="Simple 5 2" xfId="1479"/>
    <cellStyle name="Simple 6" xfId="1480"/>
    <cellStyle name="Simple 6 2" xfId="1481"/>
    <cellStyle name="Simple 7" xfId="1482"/>
    <cellStyle name="Simple 7 2" xfId="1483"/>
    <cellStyle name="Simple 8" xfId="1484"/>
    <cellStyle name="Simple 8 2" xfId="1485"/>
    <cellStyle name="Simple 9" xfId="1486"/>
    <cellStyle name="Simple 9 2" xfId="1487"/>
    <cellStyle name="Standaard_1" xfId="1488"/>
    <cellStyle name="Standard_ROOMSBU2" xfId="1489"/>
    <cellStyle name="STA-TI - Style4" xfId="1490"/>
    <cellStyle name="STA-TI - Style4 2" xfId="1491"/>
    <cellStyle name="STA-TI - Style4 3" xfId="1492"/>
    <cellStyle name="Style 1" xfId="1493"/>
    <cellStyle name="sub-to - Style3" xfId="1494"/>
    <cellStyle name="sub-to - Style3 2" xfId="1495"/>
    <cellStyle name="sub-to - Style3 3" xfId="1496"/>
    <cellStyle name="T¡tu-1 - Style2" xfId="1497"/>
    <cellStyle name="T¡tu-1 - Style2 2" xfId="1498"/>
    <cellStyle name="T¡tu-1 - Style2 3" xfId="1499"/>
    <cellStyle name="Table Head" xfId="1500"/>
    <cellStyle name="Table Head 2" xfId="1501"/>
    <cellStyle name="Table Head 3" xfId="1502"/>
    <cellStyle name="Table Head Aligned" xfId="1503"/>
    <cellStyle name="Table Head Blue" xfId="1504"/>
    <cellStyle name="Table Head Blue 2" xfId="1505"/>
    <cellStyle name="Table Head Blue 3" xfId="1506"/>
    <cellStyle name="Table Head Green" xfId="1507"/>
    <cellStyle name="Table Head Green 2" xfId="1508"/>
    <cellStyle name="Table Head Green 3" xfId="1509"/>
    <cellStyle name="Table Title" xfId="1510"/>
    <cellStyle name="Table Title 2" xfId="1511"/>
    <cellStyle name="Table Title 3" xfId="1512"/>
    <cellStyle name="Table Units" xfId="1513"/>
    <cellStyle name="Table Units 2" xfId="1514"/>
    <cellStyle name="Table Units 3" xfId="1515"/>
    <cellStyle name="Testo avviso" xfId="1516"/>
    <cellStyle name="Testo avviso 2" xfId="1517"/>
    <cellStyle name="Testo descrittivo" xfId="1518"/>
    <cellStyle name="Testo descrittivo 2" xfId="1519"/>
    <cellStyle name="Texto de advertencia" xfId="1520"/>
    <cellStyle name="Texto explicativo 2" xfId="1521"/>
    <cellStyle name="Texto explicativo 3" xfId="1522"/>
    <cellStyle name="Title 2" xfId="1523"/>
    <cellStyle name="Titolo" xfId="1524"/>
    <cellStyle name="Titolo 1" xfId="1525"/>
    <cellStyle name="Titolo 1 2" xfId="1526"/>
    <cellStyle name="Titolo 2" xfId="1527"/>
    <cellStyle name="Titolo 2 2" xfId="1528"/>
    <cellStyle name="Titolo 3" xfId="1529"/>
    <cellStyle name="Titolo 3 2" xfId="1530"/>
    <cellStyle name="Titolo 4" xfId="1531"/>
    <cellStyle name="Titolo 4 2" xfId="1532"/>
    <cellStyle name="Titolo 5" xfId="1533"/>
    <cellStyle name="Título 1 2" xfId="1534"/>
    <cellStyle name="Título 1 3" xfId="1535"/>
    <cellStyle name="Título 2 2" xfId="1536"/>
    <cellStyle name="Título 2 3" xfId="1537"/>
    <cellStyle name="Título 3 2" xfId="1538"/>
    <cellStyle name="Título 3 3" xfId="1539"/>
    <cellStyle name="Título 4" xfId="1540"/>
    <cellStyle name="Título 5" xfId="1541"/>
    <cellStyle name="Tope - Style1" xfId="1542"/>
    <cellStyle name="Tope - Style1 2" xfId="1543"/>
    <cellStyle name="Tope - Style1 3" xfId="1544"/>
    <cellStyle name="Total 2" xfId="1545"/>
    <cellStyle name="Total 2 2" xfId="1546"/>
    <cellStyle name="Total 2 2 2" xfId="1547"/>
    <cellStyle name="Totale" xfId="1548"/>
    <cellStyle name="Totale 2" xfId="1549"/>
    <cellStyle name="Totale 2 2" xfId="1550"/>
    <cellStyle name="Totale 2 3" xfId="1551"/>
    <cellStyle name="Totale 3" xfId="1552"/>
    <cellStyle name="Unprot" xfId="1553"/>
    <cellStyle name="Unprot$" xfId="1554"/>
    <cellStyle name="Unprot_Currency" xfId="1555"/>
    <cellStyle name="Unprotect" xfId="1556"/>
    <cellStyle name="Valore non valido" xfId="1557"/>
    <cellStyle name="Valore non valido 2" xfId="1558"/>
    <cellStyle name="Valore valido" xfId="1559"/>
    <cellStyle name="Valore valido 2" xfId="1560"/>
    <cellStyle name="Valuta (0)_dimon" xfId="1561"/>
    <cellStyle name="Valuta [0]_MVA" xfId="1562"/>
    <cellStyle name="Valuta_dimon" xfId="1563"/>
    <cellStyle name="verberg" xfId="1564"/>
    <cellStyle name="Warning Text 2" xfId="1565"/>
    <cellStyle name="White" xfId="1566"/>
    <cellStyle name="year" xfId="1567"/>
  </cellStyles>
  <dxfs count="149">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linero.intern/AppData/Local/Microsoft/Windows/Temporary%20Internet%20Files/Content.Outlook/F0O9NCNT/Template%20CIP%20in%20lease%20contracts201408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
      <sheetName val="Sheet2"/>
    </sheetNames>
    <sheetDataSet>
      <sheetData sheetId="0"/>
      <sheetData sheetId="1">
        <row r="2">
          <cell r="D2" t="str">
            <v>Lease fix only</v>
          </cell>
        </row>
        <row r="3">
          <cell r="D3" t="str">
            <v>Lease variable only</v>
          </cell>
        </row>
        <row r="4">
          <cell r="D4" t="str">
            <v>Lease fix &amp; variable</v>
          </cell>
        </row>
        <row r="5">
          <cell r="D5" t="str">
            <v>onwed</v>
          </cell>
        </row>
        <row r="6">
          <cell r="D6" t="str">
            <v>Management</v>
          </cell>
        </row>
        <row r="7">
          <cell r="D7" t="str">
            <v>Franchise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AC430"/>
  <sheetViews>
    <sheetView showGridLines="0" zoomScaleNormal="100" workbookViewId="0">
      <pane xSplit="2" ySplit="2" topLeftCell="F3" activePane="bottomRight" state="frozen"/>
      <selection activeCell="H3" sqref="H3:I3"/>
      <selection pane="topRight" activeCell="H3" sqref="H3:I3"/>
      <selection pane="bottomLeft" activeCell="H3" sqref="H3:I3"/>
      <selection pane="bottomRight" activeCell="H3" sqref="H3:I3"/>
    </sheetView>
  </sheetViews>
  <sheetFormatPr defaultColWidth="11.42578125" defaultRowHeight="12.75" outlineLevelCol="1"/>
  <cols>
    <col min="1" max="1" width="17.7109375" style="1" customWidth="1"/>
    <col min="2" max="2" width="20" style="1" customWidth="1"/>
    <col min="3" max="3" width="14.42578125" style="1" customWidth="1"/>
    <col min="4" max="4" width="14.5703125" style="1" customWidth="1"/>
    <col min="5" max="5" width="60" style="5" customWidth="1"/>
    <col min="6" max="7" width="20" style="9" bestFit="1" customWidth="1"/>
    <col min="8" max="8" width="29.28515625" style="12" bestFit="1" customWidth="1"/>
    <col min="9" max="9" width="35.42578125" style="12" customWidth="1"/>
    <col min="10" max="10" width="14.5703125" style="12" customWidth="1"/>
    <col min="11" max="11" width="32.140625" style="12" customWidth="1"/>
    <col min="12" max="12" width="21.7109375" style="9" customWidth="1"/>
    <col min="13" max="13" width="21.7109375" style="12" customWidth="1"/>
    <col min="14" max="14" width="23.28515625" style="12" customWidth="1"/>
    <col min="15" max="16" width="22" style="12" customWidth="1"/>
    <col min="17" max="17" width="23.28515625" style="12" customWidth="1"/>
    <col min="18" max="19" width="21.7109375" style="12" customWidth="1" outlineLevel="1"/>
    <col min="20" max="20" width="23.28515625" style="12" customWidth="1" outlineLevel="1"/>
    <col min="21" max="22" width="22.28515625" style="12" customWidth="1" outlineLevel="1"/>
    <col min="23" max="23" width="23.28515625" style="12" customWidth="1" outlineLevel="1"/>
    <col min="24" max="25" width="23.42578125" style="12" customWidth="1" outlineLevel="1"/>
    <col min="26" max="26" width="33.140625" style="12" customWidth="1" outlineLevel="1"/>
    <col min="27" max="28" width="23.42578125" style="12" customWidth="1" outlineLevel="1"/>
    <col min="29" max="29" width="32.140625" style="12" customWidth="1" outlineLevel="1"/>
    <col min="30" max="16384" width="11.42578125" style="1"/>
  </cols>
  <sheetData>
    <row r="1" spans="1:29" s="2" customFormat="1" ht="15.75" customHeight="1" thickBot="1">
      <c r="A1" s="296" t="s">
        <v>74</v>
      </c>
      <c r="B1" s="296" t="s">
        <v>75</v>
      </c>
      <c r="C1" s="296" t="s">
        <v>195</v>
      </c>
      <c r="D1" s="296" t="s">
        <v>215</v>
      </c>
      <c r="E1" s="296" t="s">
        <v>216</v>
      </c>
      <c r="F1" s="296" t="s">
        <v>1142</v>
      </c>
      <c r="G1" s="296"/>
      <c r="H1" s="296" t="s">
        <v>1244</v>
      </c>
      <c r="I1" s="296" t="s">
        <v>1340</v>
      </c>
      <c r="J1" s="296" t="s">
        <v>1341</v>
      </c>
      <c r="K1" s="296" t="s">
        <v>1342</v>
      </c>
      <c r="L1" s="298">
        <v>2014</v>
      </c>
      <c r="M1" s="298"/>
      <c r="N1" s="299"/>
      <c r="O1" s="297">
        <v>2015</v>
      </c>
      <c r="P1" s="298"/>
      <c r="Q1" s="299"/>
      <c r="R1" s="297">
        <v>2016</v>
      </c>
      <c r="S1" s="298"/>
      <c r="T1" s="299"/>
      <c r="U1" s="297">
        <v>2017</v>
      </c>
      <c r="V1" s="298"/>
      <c r="W1" s="299"/>
      <c r="X1" s="297">
        <v>2018</v>
      </c>
      <c r="Y1" s="298"/>
      <c r="Z1" s="299"/>
      <c r="AA1" s="297">
        <v>2019</v>
      </c>
      <c r="AB1" s="298"/>
      <c r="AC1" s="299"/>
    </row>
    <row r="2" spans="1:29" s="14" customFormat="1" ht="25.5" customHeight="1">
      <c r="A2" s="296"/>
      <c r="B2" s="296"/>
      <c r="C2" s="296"/>
      <c r="D2" s="296"/>
      <c r="E2" s="296"/>
      <c r="F2" s="260" t="s">
        <v>1141</v>
      </c>
      <c r="G2" s="260" t="s">
        <v>1146</v>
      </c>
      <c r="H2" s="296"/>
      <c r="I2" s="296"/>
      <c r="J2" s="296"/>
      <c r="K2" s="296"/>
      <c r="L2" s="22" t="s">
        <v>197</v>
      </c>
      <c r="M2" s="22" t="s">
        <v>198</v>
      </c>
      <c r="N2" s="23" t="s">
        <v>199</v>
      </c>
      <c r="O2" s="21" t="s">
        <v>197</v>
      </c>
      <c r="P2" s="22" t="s">
        <v>198</v>
      </c>
      <c r="Q2" s="23" t="s">
        <v>199</v>
      </c>
      <c r="R2" s="21" t="s">
        <v>197</v>
      </c>
      <c r="S2" s="22" t="s">
        <v>198</v>
      </c>
      <c r="T2" s="23" t="s">
        <v>199</v>
      </c>
      <c r="U2" s="21" t="s">
        <v>197</v>
      </c>
      <c r="V2" s="22" t="s">
        <v>198</v>
      </c>
      <c r="W2" s="23" t="s">
        <v>199</v>
      </c>
      <c r="X2" s="21" t="s">
        <v>197</v>
      </c>
      <c r="Y2" s="22" t="s">
        <v>198</v>
      </c>
      <c r="Z2" s="23" t="s">
        <v>199</v>
      </c>
      <c r="AA2" s="21" t="s">
        <v>197</v>
      </c>
      <c r="AB2" s="22" t="s">
        <v>198</v>
      </c>
      <c r="AC2" s="23" t="s">
        <v>199</v>
      </c>
    </row>
    <row r="3" spans="1:29" ht="59.25" customHeight="1">
      <c r="A3" s="261" t="s">
        <v>0</v>
      </c>
      <c r="B3" s="270" t="s">
        <v>1444</v>
      </c>
      <c r="C3" s="228">
        <v>41917</v>
      </c>
      <c r="D3" s="228">
        <v>44597</v>
      </c>
      <c r="E3" s="262" t="s">
        <v>1283</v>
      </c>
      <c r="F3" s="222" t="s">
        <v>220</v>
      </c>
      <c r="G3" s="237" t="s">
        <v>220</v>
      </c>
      <c r="H3" s="224" t="s">
        <v>1225</v>
      </c>
      <c r="I3" s="224" t="s">
        <v>1344</v>
      </c>
      <c r="J3" s="224"/>
      <c r="K3" s="224"/>
      <c r="L3" s="234">
        <v>2356028</v>
      </c>
      <c r="M3" s="11"/>
      <c r="N3" s="11"/>
      <c r="O3" s="234">
        <f>259052*10+53461+256323</f>
        <v>2900304</v>
      </c>
      <c r="P3" s="11"/>
      <c r="Q3" s="11"/>
      <c r="R3" s="234">
        <f>(259052*12)*(1+1%)</f>
        <v>3139710.24</v>
      </c>
      <c r="S3" s="11"/>
      <c r="T3" s="11"/>
      <c r="U3" s="8" t="s">
        <v>217</v>
      </c>
      <c r="V3" s="11"/>
      <c r="W3" s="11"/>
      <c r="X3" s="8" t="s">
        <v>217</v>
      </c>
      <c r="Y3" s="11"/>
      <c r="Z3" s="11"/>
      <c r="AA3" s="8" t="s">
        <v>217</v>
      </c>
      <c r="AB3" s="11"/>
      <c r="AC3" s="11"/>
    </row>
    <row r="4" spans="1:29" ht="51" customHeight="1">
      <c r="A4" s="154" t="s">
        <v>6</v>
      </c>
      <c r="B4" s="270" t="s">
        <v>1444</v>
      </c>
      <c r="C4" s="17">
        <v>41718</v>
      </c>
      <c r="D4" s="17">
        <v>42094</v>
      </c>
      <c r="E4" s="218" t="s">
        <v>1400</v>
      </c>
      <c r="F4" s="8" t="s">
        <v>284</v>
      </c>
      <c r="G4" s="233" t="s">
        <v>1143</v>
      </c>
      <c r="H4" s="8" t="s">
        <v>221</v>
      </c>
      <c r="I4" s="8" t="s">
        <v>221</v>
      </c>
      <c r="J4" s="8" t="s">
        <v>1401</v>
      </c>
      <c r="K4" s="89" t="s">
        <v>1398</v>
      </c>
      <c r="L4" s="234">
        <v>974309.66400000011</v>
      </c>
      <c r="M4" s="11"/>
      <c r="N4" s="11" t="s">
        <v>1245</v>
      </c>
      <c r="O4" s="234"/>
      <c r="P4" s="11"/>
      <c r="Q4" s="11" t="s">
        <v>240</v>
      </c>
      <c r="R4" s="11"/>
      <c r="S4" s="11"/>
      <c r="T4" s="11" t="s">
        <v>221</v>
      </c>
      <c r="U4" s="11"/>
      <c r="V4" s="11"/>
      <c r="W4" s="11" t="s">
        <v>221</v>
      </c>
      <c r="X4" s="11"/>
      <c r="Y4" s="11"/>
      <c r="Z4" s="11" t="s">
        <v>221</v>
      </c>
      <c r="AA4" s="11"/>
      <c r="AB4" s="11"/>
      <c r="AC4" s="11" t="s">
        <v>221</v>
      </c>
    </row>
    <row r="5" spans="1:29" ht="23.25" customHeight="1">
      <c r="A5" s="218" t="s">
        <v>14</v>
      </c>
      <c r="B5" s="270" t="s">
        <v>1444</v>
      </c>
      <c r="C5" s="17">
        <v>39615</v>
      </c>
      <c r="D5" s="17">
        <v>45092</v>
      </c>
      <c r="E5" s="218" t="s">
        <v>1263</v>
      </c>
      <c r="F5" s="8" t="s">
        <v>220</v>
      </c>
      <c r="G5" s="233" t="s">
        <v>220</v>
      </c>
      <c r="H5" s="11" t="s">
        <v>1225</v>
      </c>
      <c r="I5" s="11"/>
      <c r="J5" s="11"/>
      <c r="K5" s="11"/>
      <c r="L5" s="234">
        <v>3385386.02</v>
      </c>
      <c r="M5" s="11"/>
      <c r="N5" s="11"/>
      <c r="O5" s="234">
        <v>3374529.51</v>
      </c>
      <c r="P5" s="11"/>
      <c r="Q5" s="11"/>
      <c r="R5" s="8"/>
      <c r="S5" s="11"/>
      <c r="T5" s="11"/>
      <c r="U5" s="8"/>
      <c r="V5" s="11"/>
      <c r="W5" s="11"/>
      <c r="X5" s="8"/>
      <c r="Y5" s="11"/>
      <c r="Z5" s="11"/>
      <c r="AA5" s="8"/>
      <c r="AB5" s="11"/>
      <c r="AC5" s="11"/>
    </row>
    <row r="6" spans="1:29" ht="147.75" customHeight="1">
      <c r="A6" s="154" t="s">
        <v>11</v>
      </c>
      <c r="B6" s="270" t="s">
        <v>1444</v>
      </c>
      <c r="C6" s="17">
        <v>42251</v>
      </c>
      <c r="D6" s="17">
        <v>46904</v>
      </c>
      <c r="E6" s="239" t="s">
        <v>1469</v>
      </c>
      <c r="F6" s="8" t="s">
        <v>284</v>
      </c>
      <c r="G6" s="233" t="s">
        <v>1215</v>
      </c>
      <c r="H6" s="11" t="s">
        <v>1225</v>
      </c>
      <c r="I6" s="224" t="s">
        <v>1345</v>
      </c>
      <c r="J6" s="11"/>
      <c r="K6" s="11"/>
      <c r="L6" s="8"/>
      <c r="M6" s="244">
        <v>500000</v>
      </c>
      <c r="N6" s="11" t="s">
        <v>261</v>
      </c>
      <c r="O6" s="234"/>
      <c r="P6" s="8" t="s">
        <v>217</v>
      </c>
      <c r="Q6" s="11" t="s">
        <v>261</v>
      </c>
      <c r="R6" s="11"/>
      <c r="S6" s="8" t="s">
        <v>217</v>
      </c>
      <c r="T6" s="11" t="s">
        <v>261</v>
      </c>
      <c r="U6" s="11"/>
      <c r="V6" s="8" t="s">
        <v>217</v>
      </c>
      <c r="W6" s="11" t="s">
        <v>261</v>
      </c>
      <c r="X6" s="11"/>
      <c r="Y6" s="8" t="s">
        <v>217</v>
      </c>
      <c r="Z6" s="11" t="s">
        <v>1424</v>
      </c>
      <c r="AA6" s="11"/>
      <c r="AB6" s="8" t="s">
        <v>217</v>
      </c>
      <c r="AC6" s="11" t="s">
        <v>1425</v>
      </c>
    </row>
    <row r="7" spans="1:29" ht="78.75" customHeight="1">
      <c r="A7" s="154" t="s">
        <v>56</v>
      </c>
      <c r="B7" s="270" t="s">
        <v>1444</v>
      </c>
      <c r="C7" s="17">
        <v>41743</v>
      </c>
      <c r="D7" s="17">
        <v>45108</v>
      </c>
      <c r="E7" s="218" t="s">
        <v>1272</v>
      </c>
      <c r="F7" s="8" t="s">
        <v>218</v>
      </c>
      <c r="G7" s="233" t="s">
        <v>1144</v>
      </c>
      <c r="H7" s="89" t="s">
        <v>1235</v>
      </c>
      <c r="I7" s="224" t="s">
        <v>1346</v>
      </c>
      <c r="J7" s="89"/>
      <c r="K7" s="89"/>
      <c r="L7" s="234">
        <v>526387.54</v>
      </c>
      <c r="M7" s="11"/>
      <c r="N7" s="11" t="s">
        <v>250</v>
      </c>
      <c r="O7" s="234">
        <v>512196</v>
      </c>
      <c r="P7" s="11"/>
      <c r="Q7" s="11" t="s">
        <v>250</v>
      </c>
      <c r="R7" s="8" t="s">
        <v>1284</v>
      </c>
      <c r="S7" s="11"/>
      <c r="T7" s="11" t="s">
        <v>250</v>
      </c>
      <c r="U7" s="8" t="s">
        <v>217</v>
      </c>
      <c r="V7" s="11"/>
      <c r="W7" s="11" t="s">
        <v>250</v>
      </c>
      <c r="X7" s="8" t="s">
        <v>217</v>
      </c>
      <c r="Y7" s="11"/>
      <c r="Z7" s="11" t="s">
        <v>250</v>
      </c>
      <c r="AA7" s="8" t="s">
        <v>217</v>
      </c>
      <c r="AB7" s="11"/>
      <c r="AC7" s="11" t="s">
        <v>250</v>
      </c>
    </row>
    <row r="8" spans="1:29" s="90" customFormat="1" ht="25.5" customHeight="1">
      <c r="A8" s="239" t="s">
        <v>1415</v>
      </c>
      <c r="B8" s="270" t="s">
        <v>1444</v>
      </c>
      <c r="C8" s="17">
        <v>41426</v>
      </c>
      <c r="D8" s="17">
        <v>44926</v>
      </c>
      <c r="E8" s="218" t="s">
        <v>1246</v>
      </c>
      <c r="F8" s="149" t="s">
        <v>220</v>
      </c>
      <c r="G8" s="233" t="s">
        <v>220</v>
      </c>
      <c r="H8" s="11" t="s">
        <v>1268</v>
      </c>
      <c r="I8" s="11"/>
      <c r="J8" s="11"/>
      <c r="K8" s="11"/>
      <c r="L8" s="242">
        <v>707704</v>
      </c>
      <c r="M8" s="89"/>
      <c r="N8" s="89"/>
      <c r="O8" s="234">
        <f>58917*12</f>
        <v>707004</v>
      </c>
      <c r="P8" s="89"/>
      <c r="Q8" s="89"/>
      <c r="R8" s="234">
        <v>707004</v>
      </c>
      <c r="S8" s="89"/>
      <c r="T8" s="89"/>
      <c r="U8" s="149" t="s">
        <v>217</v>
      </c>
      <c r="V8" s="89"/>
      <c r="W8" s="89"/>
      <c r="X8" s="149" t="s">
        <v>217</v>
      </c>
      <c r="Y8" s="89"/>
      <c r="Z8" s="89"/>
      <c r="AA8" s="149" t="s">
        <v>217</v>
      </c>
      <c r="AB8" s="89"/>
      <c r="AC8" s="89"/>
    </row>
    <row r="9" spans="1:29" ht="39" customHeight="1">
      <c r="A9" s="210" t="s">
        <v>1416</v>
      </c>
      <c r="B9" s="270" t="s">
        <v>1444</v>
      </c>
      <c r="C9" s="17">
        <v>41000</v>
      </c>
      <c r="D9" s="17">
        <v>44104</v>
      </c>
      <c r="E9" s="218" t="s">
        <v>1269</v>
      </c>
      <c r="F9" s="8" t="s">
        <v>284</v>
      </c>
      <c r="G9" s="233" t="s">
        <v>1215</v>
      </c>
      <c r="H9" s="89" t="s">
        <v>1347</v>
      </c>
      <c r="I9" s="224" t="s">
        <v>1346</v>
      </c>
      <c r="J9" s="89"/>
      <c r="K9" s="89"/>
      <c r="L9" s="219"/>
      <c r="M9" s="219">
        <v>1284948</v>
      </c>
      <c r="N9" s="11" t="s">
        <v>1248</v>
      </c>
      <c r="O9" s="234"/>
      <c r="P9" s="8" t="s">
        <v>217</v>
      </c>
      <c r="Q9" s="11" t="s">
        <v>1248</v>
      </c>
      <c r="R9" s="8" t="s">
        <v>217</v>
      </c>
      <c r="S9" s="11"/>
      <c r="T9" s="11"/>
      <c r="U9" s="8" t="s">
        <v>217</v>
      </c>
      <c r="V9" s="11"/>
      <c r="W9" s="11"/>
      <c r="X9" s="8" t="s">
        <v>217</v>
      </c>
      <c r="Y9" s="11"/>
      <c r="Z9" s="11"/>
      <c r="AA9" s="8" t="s">
        <v>217</v>
      </c>
      <c r="AB9" s="11"/>
      <c r="AC9" s="11"/>
    </row>
    <row r="10" spans="1:29" ht="36" customHeight="1">
      <c r="A10" s="210" t="s">
        <v>26</v>
      </c>
      <c r="B10" s="270" t="s">
        <v>1444</v>
      </c>
      <c r="C10" s="17">
        <v>41000</v>
      </c>
      <c r="D10" s="17">
        <v>44104</v>
      </c>
      <c r="E10" s="218" t="s">
        <v>1270</v>
      </c>
      <c r="F10" s="8" t="s">
        <v>284</v>
      </c>
      <c r="G10" s="233" t="s">
        <v>1215</v>
      </c>
      <c r="H10" s="89" t="s">
        <v>1347</v>
      </c>
      <c r="I10" s="89" t="s">
        <v>1346</v>
      </c>
      <c r="J10" s="89"/>
      <c r="K10" s="89"/>
      <c r="L10" s="219"/>
      <c r="M10" s="219">
        <v>1714433.55</v>
      </c>
      <c r="N10" s="11" t="s">
        <v>1247</v>
      </c>
      <c r="O10" s="234"/>
      <c r="P10" s="8" t="s">
        <v>217</v>
      </c>
      <c r="Q10" s="11" t="s">
        <v>1247</v>
      </c>
      <c r="R10" s="8" t="s">
        <v>217</v>
      </c>
      <c r="S10" s="11"/>
      <c r="T10" s="11"/>
      <c r="U10" s="8" t="s">
        <v>217</v>
      </c>
      <c r="V10" s="11"/>
      <c r="W10" s="11"/>
      <c r="X10" s="8" t="s">
        <v>217</v>
      </c>
      <c r="Y10" s="11"/>
      <c r="Z10" s="11"/>
      <c r="AA10" s="8" t="s">
        <v>217</v>
      </c>
      <c r="AB10" s="11"/>
      <c r="AC10" s="11"/>
    </row>
    <row r="11" spans="1:29" ht="84.75" customHeight="1">
      <c r="A11" s="154" t="s">
        <v>9</v>
      </c>
      <c r="B11" s="270" t="s">
        <v>1444</v>
      </c>
      <c r="C11" s="17">
        <v>41718</v>
      </c>
      <c r="D11" s="17">
        <v>45291</v>
      </c>
      <c r="E11" s="218" t="s">
        <v>1396</v>
      </c>
      <c r="F11" s="8" t="s">
        <v>218</v>
      </c>
      <c r="G11" s="233" t="s">
        <v>1145</v>
      </c>
      <c r="H11" s="89" t="s">
        <v>1231</v>
      </c>
      <c r="I11" s="89" t="s">
        <v>1345</v>
      </c>
      <c r="J11" s="149" t="s">
        <v>1397</v>
      </c>
      <c r="K11" s="89" t="s">
        <v>1398</v>
      </c>
      <c r="L11" s="234">
        <v>750000</v>
      </c>
      <c r="M11" s="214"/>
      <c r="N11" s="11" t="s">
        <v>1129</v>
      </c>
      <c r="O11" s="232">
        <v>742500</v>
      </c>
      <c r="P11" s="11"/>
      <c r="Q11" s="11" t="s">
        <v>1129</v>
      </c>
      <c r="R11" s="8" t="s">
        <v>217</v>
      </c>
      <c r="S11" s="11"/>
      <c r="T11" s="11" t="s">
        <v>1129</v>
      </c>
      <c r="U11" s="8" t="s">
        <v>217</v>
      </c>
      <c r="V11" s="11"/>
      <c r="W11" s="11" t="s">
        <v>1129</v>
      </c>
      <c r="X11" s="8" t="s">
        <v>217</v>
      </c>
      <c r="Y11" s="11"/>
      <c r="Z11" s="11" t="s">
        <v>1129</v>
      </c>
      <c r="AA11" s="8" t="s">
        <v>1399</v>
      </c>
      <c r="AB11" s="11"/>
      <c r="AC11" s="11" t="s">
        <v>1129</v>
      </c>
    </row>
    <row r="12" spans="1:29" ht="108.75" customHeight="1">
      <c r="A12" s="154" t="s">
        <v>44</v>
      </c>
      <c r="B12" s="270" t="s">
        <v>1444</v>
      </c>
      <c r="C12" s="17">
        <v>41183</v>
      </c>
      <c r="D12" s="17">
        <v>43900</v>
      </c>
      <c r="E12" s="218" t="s">
        <v>1433</v>
      </c>
      <c r="F12" s="8" t="s">
        <v>218</v>
      </c>
      <c r="G12" s="233" t="s">
        <v>1145</v>
      </c>
      <c r="H12" s="11" t="s">
        <v>1330</v>
      </c>
      <c r="I12" s="89" t="s">
        <v>1346</v>
      </c>
      <c r="J12" s="157" t="s">
        <v>1395</v>
      </c>
      <c r="K12" s="157" t="s">
        <v>1432</v>
      </c>
      <c r="L12" s="234" t="s">
        <v>1249</v>
      </c>
      <c r="M12" s="11"/>
      <c r="N12" s="11" t="s">
        <v>1132</v>
      </c>
      <c r="O12" s="234" t="s">
        <v>1250</v>
      </c>
      <c r="P12" s="11"/>
      <c r="Q12" s="11" t="s">
        <v>1132</v>
      </c>
      <c r="R12" s="8" t="s">
        <v>217</v>
      </c>
      <c r="S12" s="11"/>
      <c r="T12" s="11" t="s">
        <v>1132</v>
      </c>
      <c r="U12" s="8" t="s">
        <v>217</v>
      </c>
      <c r="V12" s="11"/>
      <c r="W12" s="11" t="s">
        <v>1132</v>
      </c>
      <c r="X12" s="8" t="s">
        <v>217</v>
      </c>
      <c r="Y12" s="11"/>
      <c r="Z12" s="11" t="s">
        <v>1132</v>
      </c>
      <c r="AA12" s="8" t="s">
        <v>217</v>
      </c>
      <c r="AB12" s="11"/>
      <c r="AC12" s="11" t="s">
        <v>1132</v>
      </c>
    </row>
    <row r="13" spans="1:29" ht="88.5" customHeight="1">
      <c r="A13" s="154" t="s">
        <v>19</v>
      </c>
      <c r="B13" s="270" t="s">
        <v>1444</v>
      </c>
      <c r="C13" s="17">
        <v>41837</v>
      </c>
      <c r="D13" s="17">
        <v>46022</v>
      </c>
      <c r="E13" s="218" t="s">
        <v>1441</v>
      </c>
      <c r="F13" s="8" t="s">
        <v>218</v>
      </c>
      <c r="G13" s="233" t="s">
        <v>1145</v>
      </c>
      <c r="H13" s="11" t="s">
        <v>1225</v>
      </c>
      <c r="I13" s="11" t="s">
        <v>1345</v>
      </c>
      <c r="J13" s="11"/>
      <c r="K13" s="11"/>
      <c r="L13" s="243">
        <v>261306.08</v>
      </c>
      <c r="M13" s="241"/>
      <c r="N13" s="11" t="s">
        <v>1133</v>
      </c>
      <c r="O13" s="234">
        <v>267300</v>
      </c>
      <c r="P13" s="241"/>
      <c r="Q13" s="11" t="s">
        <v>1133</v>
      </c>
      <c r="R13" s="234">
        <v>610186.72</v>
      </c>
      <c r="S13" s="11"/>
      <c r="T13" s="11" t="s">
        <v>1133</v>
      </c>
      <c r="U13" s="28">
        <v>610905.39116600866</v>
      </c>
      <c r="V13" s="11"/>
      <c r="W13" s="11" t="s">
        <v>1133</v>
      </c>
      <c r="X13" s="28">
        <v>624068.97703349881</v>
      </c>
      <c r="Y13" s="11"/>
      <c r="Z13" s="11" t="s">
        <v>1133</v>
      </c>
      <c r="AA13" s="267">
        <v>624068.97703349881</v>
      </c>
      <c r="AB13" s="11"/>
      <c r="AC13" s="11" t="s">
        <v>1133</v>
      </c>
    </row>
    <row r="14" spans="1:29" ht="159.75" customHeight="1">
      <c r="A14" s="154" t="s">
        <v>10</v>
      </c>
      <c r="B14" s="270" t="s">
        <v>1444</v>
      </c>
      <c r="C14" s="17">
        <v>42251</v>
      </c>
      <c r="D14" s="17">
        <v>46878</v>
      </c>
      <c r="E14" s="268" t="s">
        <v>1427</v>
      </c>
      <c r="F14" s="8" t="s">
        <v>239</v>
      </c>
      <c r="G14" s="233" t="s">
        <v>1215</v>
      </c>
      <c r="H14" s="11" t="s">
        <v>1225</v>
      </c>
      <c r="I14" s="223" t="s">
        <v>1345</v>
      </c>
      <c r="J14" s="223"/>
      <c r="K14" s="223"/>
      <c r="L14" s="8"/>
      <c r="M14" s="241">
        <v>900000</v>
      </c>
      <c r="N14" s="11" t="s">
        <v>260</v>
      </c>
      <c r="O14" s="11"/>
      <c r="P14" s="8" t="s">
        <v>217</v>
      </c>
      <c r="Q14" s="11" t="s">
        <v>260</v>
      </c>
      <c r="R14" s="11"/>
      <c r="S14" s="8" t="s">
        <v>217</v>
      </c>
      <c r="T14" s="11" t="s">
        <v>260</v>
      </c>
      <c r="U14" s="11"/>
      <c r="V14" s="8" t="s">
        <v>217</v>
      </c>
      <c r="W14" s="11" t="s">
        <v>260</v>
      </c>
      <c r="X14" s="11"/>
      <c r="Y14" s="8" t="s">
        <v>217</v>
      </c>
      <c r="Z14" s="11" t="s">
        <v>260</v>
      </c>
      <c r="AA14" s="11"/>
      <c r="AB14" s="8" t="s">
        <v>217</v>
      </c>
      <c r="AC14" s="11" t="s">
        <v>260</v>
      </c>
    </row>
    <row r="15" spans="1:29" ht="150" customHeight="1">
      <c r="A15" s="154" t="s">
        <v>46</v>
      </c>
      <c r="B15" s="270" t="s">
        <v>1444</v>
      </c>
      <c r="C15" s="17">
        <v>41730</v>
      </c>
      <c r="D15" s="17">
        <v>49459</v>
      </c>
      <c r="E15" s="218" t="s">
        <v>1471</v>
      </c>
      <c r="F15" s="8" t="s">
        <v>239</v>
      </c>
      <c r="G15" s="233" t="s">
        <v>1143</v>
      </c>
      <c r="H15" s="265" t="s">
        <v>221</v>
      </c>
      <c r="I15" s="266" t="s">
        <v>1357</v>
      </c>
      <c r="J15" s="266"/>
      <c r="K15" s="266"/>
      <c r="M15" s="11"/>
      <c r="N15" s="244">
        <v>447600</v>
      </c>
      <c r="O15" s="11"/>
      <c r="P15" s="11"/>
      <c r="Q15" s="244" t="s">
        <v>251</v>
      </c>
      <c r="R15" s="11"/>
      <c r="S15" s="11"/>
      <c r="T15" s="29" t="s">
        <v>251</v>
      </c>
      <c r="U15" s="11"/>
      <c r="V15" s="11"/>
      <c r="W15" s="29" t="s">
        <v>251</v>
      </c>
      <c r="X15" s="11"/>
      <c r="Y15" s="11"/>
      <c r="Z15" s="29" t="s">
        <v>251</v>
      </c>
      <c r="AA15" s="11"/>
      <c r="AB15" s="11"/>
      <c r="AC15" s="29" t="s">
        <v>251</v>
      </c>
    </row>
    <row r="16" spans="1:29" ht="156.75" customHeight="1">
      <c r="A16" s="154" t="s">
        <v>162</v>
      </c>
      <c r="B16" s="270" t="s">
        <v>1444</v>
      </c>
      <c r="C16" s="155">
        <v>41773</v>
      </c>
      <c r="D16" s="17">
        <v>43313</v>
      </c>
      <c r="E16" s="218" t="s">
        <v>252</v>
      </c>
      <c r="F16" s="8" t="s">
        <v>218</v>
      </c>
      <c r="G16" s="233" t="s">
        <v>1145</v>
      </c>
      <c r="H16" s="11" t="s">
        <v>1226</v>
      </c>
      <c r="I16" s="224" t="s">
        <v>1346</v>
      </c>
      <c r="J16" s="224"/>
      <c r="K16" s="224"/>
      <c r="L16" s="234">
        <v>1930258.93</v>
      </c>
      <c r="M16" s="11"/>
      <c r="N16" s="11" t="s">
        <v>1129</v>
      </c>
      <c r="O16" s="234">
        <v>1539078</v>
      </c>
      <c r="P16" s="11"/>
      <c r="Q16" s="11" t="s">
        <v>1129</v>
      </c>
      <c r="R16" s="8" t="s">
        <v>1285</v>
      </c>
      <c r="S16" s="11"/>
      <c r="T16" s="11" t="s">
        <v>1129</v>
      </c>
      <c r="U16" s="8" t="s">
        <v>217</v>
      </c>
      <c r="V16" s="11"/>
      <c r="W16" s="11" t="s">
        <v>1129</v>
      </c>
      <c r="X16" s="8" t="s">
        <v>217</v>
      </c>
      <c r="Y16" s="11"/>
      <c r="Z16" s="11" t="s">
        <v>1129</v>
      </c>
      <c r="AA16" s="8" t="s">
        <v>217</v>
      </c>
      <c r="AB16" s="11"/>
      <c r="AC16" s="11" t="s">
        <v>1129</v>
      </c>
    </row>
    <row r="17" spans="1:29" ht="130.5" customHeight="1">
      <c r="A17" s="154" t="s">
        <v>1316</v>
      </c>
      <c r="B17" s="270" t="s">
        <v>1444</v>
      </c>
      <c r="C17" s="17">
        <v>41708</v>
      </c>
      <c r="D17" s="17">
        <v>45570</v>
      </c>
      <c r="E17" s="3" t="s">
        <v>1317</v>
      </c>
      <c r="F17" s="8" t="s">
        <v>218</v>
      </c>
      <c r="G17" s="233" t="s">
        <v>1145</v>
      </c>
      <c r="H17" s="240" t="s">
        <v>1227</v>
      </c>
      <c r="I17" s="11" t="s">
        <v>1346</v>
      </c>
      <c r="J17" s="240"/>
      <c r="K17" s="240"/>
      <c r="L17" s="234">
        <v>242012.40000000005</v>
      </c>
      <c r="M17" s="1"/>
      <c r="N17" s="11" t="s">
        <v>1133</v>
      </c>
      <c r="O17" s="234">
        <v>242016</v>
      </c>
      <c r="P17" s="11"/>
      <c r="Q17" s="11" t="s">
        <v>1133</v>
      </c>
      <c r="R17" s="234">
        <v>242016</v>
      </c>
      <c r="S17" s="11"/>
      <c r="T17" s="11" t="s">
        <v>1133</v>
      </c>
      <c r="U17" s="234">
        <v>242016</v>
      </c>
      <c r="V17" s="11"/>
      <c r="W17" s="11" t="s">
        <v>1133</v>
      </c>
      <c r="X17" s="28" t="s">
        <v>253</v>
      </c>
      <c r="Y17" s="11"/>
      <c r="Z17" s="11" t="s">
        <v>1133</v>
      </c>
      <c r="AA17" s="28" t="s">
        <v>253</v>
      </c>
      <c r="AB17" s="11"/>
      <c r="AC17" s="11" t="s">
        <v>1133</v>
      </c>
    </row>
    <row r="18" spans="1:29" ht="63" customHeight="1">
      <c r="A18" s="154" t="s">
        <v>59</v>
      </c>
      <c r="B18" s="270" t="s">
        <v>1444</v>
      </c>
      <c r="C18" s="17">
        <v>38700</v>
      </c>
      <c r="D18" s="17">
        <v>44135</v>
      </c>
      <c r="E18" s="218" t="s">
        <v>1273</v>
      </c>
      <c r="F18" s="8" t="s">
        <v>218</v>
      </c>
      <c r="G18" s="233" t="s">
        <v>1145</v>
      </c>
      <c r="H18" s="11" t="s">
        <v>1228</v>
      </c>
      <c r="I18" s="11" t="s">
        <v>1344</v>
      </c>
      <c r="J18" s="11"/>
      <c r="K18" s="11"/>
      <c r="L18" s="219">
        <v>532614.6</v>
      </c>
      <c r="M18" s="11"/>
      <c r="N18" s="11" t="s">
        <v>1251</v>
      </c>
      <c r="O18" s="8" t="s">
        <v>217</v>
      </c>
      <c r="P18" s="11"/>
      <c r="Q18" s="11" t="s">
        <v>1251</v>
      </c>
      <c r="R18" s="8" t="s">
        <v>217</v>
      </c>
      <c r="S18" s="11"/>
      <c r="T18" s="11"/>
      <c r="U18" s="8" t="s">
        <v>217</v>
      </c>
      <c r="V18" s="11"/>
      <c r="W18" s="11"/>
      <c r="X18" s="8" t="s">
        <v>217</v>
      </c>
      <c r="Y18" s="11"/>
      <c r="Z18" s="11"/>
      <c r="AA18" s="8" t="s">
        <v>217</v>
      </c>
      <c r="AB18" s="11"/>
      <c r="AC18" s="11"/>
    </row>
    <row r="19" spans="1:29" ht="115.5" customHeight="1">
      <c r="A19" s="154" t="s">
        <v>43</v>
      </c>
      <c r="B19" s="270" t="s">
        <v>1444</v>
      </c>
      <c r="C19" s="17">
        <v>41611</v>
      </c>
      <c r="D19" s="17">
        <v>45716</v>
      </c>
      <c r="E19" s="218" t="s">
        <v>263</v>
      </c>
      <c r="F19" s="8" t="s">
        <v>220</v>
      </c>
      <c r="G19" s="233" t="s">
        <v>220</v>
      </c>
      <c r="H19" s="11" t="s">
        <v>1296</v>
      </c>
      <c r="I19" s="11" t="s">
        <v>1378</v>
      </c>
      <c r="J19" s="11"/>
      <c r="K19" s="11"/>
      <c r="L19" s="234">
        <v>1028001</v>
      </c>
      <c r="M19" s="11"/>
      <c r="N19" s="11"/>
      <c r="O19" s="234">
        <v>1056000</v>
      </c>
      <c r="P19" s="11"/>
      <c r="Q19" s="11"/>
      <c r="R19" s="234">
        <v>1085000</v>
      </c>
      <c r="S19" s="11"/>
      <c r="T19" s="11"/>
      <c r="U19" s="28" t="s">
        <v>264</v>
      </c>
      <c r="V19" s="11"/>
      <c r="W19" s="11"/>
      <c r="X19" s="8" t="s">
        <v>217</v>
      </c>
      <c r="Y19" s="11"/>
      <c r="Z19" s="11"/>
      <c r="AA19" s="8" t="s">
        <v>217</v>
      </c>
      <c r="AB19" s="11"/>
      <c r="AC19" s="11"/>
    </row>
    <row r="20" spans="1:29" ht="200.25" customHeight="1">
      <c r="A20" s="154" t="s">
        <v>52</v>
      </c>
      <c r="B20" s="270" t="s">
        <v>1444</v>
      </c>
      <c r="C20" s="17">
        <v>41820</v>
      </c>
      <c r="D20" s="17">
        <v>45254</v>
      </c>
      <c r="E20" s="218" t="s">
        <v>1423</v>
      </c>
      <c r="F20" s="8" t="s">
        <v>218</v>
      </c>
      <c r="G20" s="233" t="s">
        <v>1145</v>
      </c>
      <c r="H20" s="11" t="s">
        <v>1308</v>
      </c>
      <c r="I20" s="11" t="s">
        <v>1349</v>
      </c>
      <c r="J20" s="11"/>
      <c r="K20" s="11"/>
      <c r="L20" s="234">
        <v>564000</v>
      </c>
      <c r="M20" s="11"/>
      <c r="N20" s="11" t="s">
        <v>1074</v>
      </c>
      <c r="O20" s="234" t="s">
        <v>1309</v>
      </c>
      <c r="P20" s="11"/>
      <c r="Q20" s="11" t="s">
        <v>1271</v>
      </c>
      <c r="R20" s="8" t="s">
        <v>217</v>
      </c>
      <c r="S20" s="11"/>
      <c r="T20" s="11" t="s">
        <v>1271</v>
      </c>
      <c r="U20" s="8" t="s">
        <v>217</v>
      </c>
      <c r="V20" s="11"/>
      <c r="W20" s="11" t="s">
        <v>1271</v>
      </c>
      <c r="X20" s="8" t="s">
        <v>217</v>
      </c>
      <c r="Y20" s="11"/>
      <c r="Z20" s="11" t="s">
        <v>1271</v>
      </c>
      <c r="AA20" s="8" t="s">
        <v>217</v>
      </c>
      <c r="AB20" s="11"/>
      <c r="AC20" s="11" t="s">
        <v>1136</v>
      </c>
    </row>
    <row r="21" spans="1:29" ht="116.25" customHeight="1">
      <c r="A21" s="154" t="s">
        <v>33</v>
      </c>
      <c r="B21" s="270" t="s">
        <v>1444</v>
      </c>
      <c r="C21" s="17">
        <v>42101</v>
      </c>
      <c r="D21" s="17" t="s">
        <v>1334</v>
      </c>
      <c r="E21" s="218" t="s">
        <v>1470</v>
      </c>
      <c r="F21" s="8" t="s">
        <v>220</v>
      </c>
      <c r="G21" s="233" t="s">
        <v>220</v>
      </c>
      <c r="H21" s="11" t="s">
        <v>1358</v>
      </c>
      <c r="I21" s="11" t="s">
        <v>1356</v>
      </c>
      <c r="J21" s="11"/>
      <c r="K21" s="11"/>
      <c r="L21" s="234">
        <v>1533541.08</v>
      </c>
      <c r="M21" s="11"/>
      <c r="N21" s="11"/>
      <c r="O21" s="234">
        <f>(1400000/12)*10+127795*2+(6500+13328)</f>
        <v>1442084.6666666667</v>
      </c>
      <c r="P21" s="11"/>
      <c r="Q21" s="11"/>
      <c r="R21" s="259">
        <v>1400000</v>
      </c>
      <c r="S21" s="11"/>
      <c r="T21" s="11"/>
      <c r="U21" s="259">
        <v>1400000</v>
      </c>
      <c r="V21" s="11"/>
      <c r="W21" s="11"/>
      <c r="X21" s="259">
        <v>1400000</v>
      </c>
      <c r="Y21" s="11"/>
      <c r="Z21" s="11"/>
      <c r="AA21" s="259">
        <v>1400000</v>
      </c>
      <c r="AB21" s="11"/>
      <c r="AC21" s="11"/>
    </row>
    <row r="22" spans="1:29" ht="150.75" customHeight="1">
      <c r="A22" s="154" t="s">
        <v>1414</v>
      </c>
      <c r="B22" s="270" t="s">
        <v>1444</v>
      </c>
      <c r="C22" s="17">
        <v>41996</v>
      </c>
      <c r="D22" s="17">
        <v>44074</v>
      </c>
      <c r="E22" s="218" t="s">
        <v>1306</v>
      </c>
      <c r="F22" s="8" t="s">
        <v>239</v>
      </c>
      <c r="G22" s="233" t="s">
        <v>1215</v>
      </c>
      <c r="H22" s="11" t="s">
        <v>1232</v>
      </c>
      <c r="I22" s="11"/>
      <c r="J22" s="11"/>
      <c r="K22" s="11"/>
      <c r="L22" s="8"/>
      <c r="M22" s="234">
        <v>1758805.6800000006</v>
      </c>
      <c r="N22" s="11" t="s">
        <v>270</v>
      </c>
      <c r="O22" s="234"/>
      <c r="P22" s="257">
        <f>146712.83*12</f>
        <v>1760553.96</v>
      </c>
      <c r="Q22" s="11" t="s">
        <v>271</v>
      </c>
      <c r="R22" s="11"/>
      <c r="S22" s="8" t="s">
        <v>1307</v>
      </c>
      <c r="T22" s="11" t="s">
        <v>271</v>
      </c>
      <c r="U22" s="11"/>
      <c r="V22" s="8" t="s">
        <v>217</v>
      </c>
      <c r="W22" s="11" t="s">
        <v>271</v>
      </c>
      <c r="X22" s="11"/>
      <c r="Y22" s="8" t="s">
        <v>217</v>
      </c>
      <c r="Z22" s="11" t="s">
        <v>271</v>
      </c>
      <c r="AA22" s="11"/>
      <c r="AB22" s="8" t="s">
        <v>217</v>
      </c>
      <c r="AC22" s="11" t="s">
        <v>271</v>
      </c>
    </row>
    <row r="23" spans="1:29" ht="51" customHeight="1">
      <c r="A23" s="226" t="s">
        <v>48</v>
      </c>
      <c r="B23" s="270" t="s">
        <v>1444</v>
      </c>
      <c r="C23" s="227">
        <v>37616</v>
      </c>
      <c r="D23" s="227">
        <v>44196</v>
      </c>
      <c r="E23" s="231" t="s">
        <v>1076</v>
      </c>
      <c r="F23" s="221" t="s">
        <v>284</v>
      </c>
      <c r="G23" s="236" t="s">
        <v>1215</v>
      </c>
      <c r="H23" s="223" t="s">
        <v>1318</v>
      </c>
      <c r="I23" s="223" t="s">
        <v>1379</v>
      </c>
      <c r="J23" s="223"/>
      <c r="K23" s="223"/>
      <c r="L23" s="221"/>
      <c r="M23" s="245">
        <f>1102143.8+80527.99</f>
        <v>1182671.79</v>
      </c>
      <c r="N23" s="221" t="s">
        <v>1075</v>
      </c>
      <c r="O23" s="234"/>
      <c r="P23" s="221" t="s">
        <v>217</v>
      </c>
      <c r="Q23" s="221" t="s">
        <v>1075</v>
      </c>
      <c r="R23" s="221"/>
      <c r="S23" s="221" t="s">
        <v>217</v>
      </c>
      <c r="T23" s="221" t="s">
        <v>1075</v>
      </c>
      <c r="U23" s="221"/>
      <c r="V23" s="221" t="s">
        <v>217</v>
      </c>
      <c r="W23" s="221" t="s">
        <v>1075</v>
      </c>
      <c r="X23" s="221"/>
      <c r="Y23" s="221" t="s">
        <v>217</v>
      </c>
      <c r="Z23" s="221" t="s">
        <v>1075</v>
      </c>
      <c r="AA23" s="221"/>
      <c r="AB23" s="221" t="s">
        <v>217</v>
      </c>
      <c r="AC23" s="221" t="s">
        <v>1075</v>
      </c>
    </row>
    <row r="24" spans="1:29" ht="57.75" customHeight="1">
      <c r="A24" s="154" t="s">
        <v>55</v>
      </c>
      <c r="B24" s="270" t="s">
        <v>1444</v>
      </c>
      <c r="C24" s="17">
        <v>41640</v>
      </c>
      <c r="D24" s="17">
        <v>42735</v>
      </c>
      <c r="E24" s="218" t="s">
        <v>1239</v>
      </c>
      <c r="F24" s="8" t="s">
        <v>220</v>
      </c>
      <c r="G24" s="233" t="s">
        <v>220</v>
      </c>
      <c r="H24" s="11" t="s">
        <v>1225</v>
      </c>
      <c r="I24" s="11" t="s">
        <v>1350</v>
      </c>
      <c r="J24" s="11"/>
      <c r="K24" s="11"/>
      <c r="L24" s="234">
        <v>165000</v>
      </c>
      <c r="M24" s="11"/>
      <c r="N24" s="11"/>
      <c r="O24" s="234">
        <v>166644</v>
      </c>
      <c r="P24" s="11"/>
      <c r="Q24" s="11"/>
      <c r="R24" s="8" t="s">
        <v>1286</v>
      </c>
      <c r="S24" s="11"/>
      <c r="T24" s="11"/>
      <c r="U24" s="8"/>
      <c r="V24" s="11"/>
      <c r="W24" s="11"/>
      <c r="X24" s="8"/>
      <c r="Y24" s="11"/>
      <c r="Z24" s="11"/>
      <c r="AA24" s="8"/>
      <c r="AB24" s="11"/>
      <c r="AC24" s="11"/>
    </row>
    <row r="25" spans="1:29" ht="25.5" customHeight="1">
      <c r="A25" s="210" t="s">
        <v>51</v>
      </c>
      <c r="B25" s="270" t="s">
        <v>1444</v>
      </c>
      <c r="C25" s="17">
        <v>36117</v>
      </c>
      <c r="D25" s="17">
        <v>44524</v>
      </c>
      <c r="E25" s="218" t="s">
        <v>1311</v>
      </c>
      <c r="F25" s="8" t="s">
        <v>218</v>
      </c>
      <c r="G25" s="233" t="s">
        <v>1145</v>
      </c>
      <c r="H25" s="11" t="s">
        <v>1229</v>
      </c>
      <c r="I25" s="11" t="s">
        <v>1346</v>
      </c>
      <c r="J25" s="11"/>
      <c r="K25" s="11"/>
      <c r="L25" s="234">
        <v>293863.08</v>
      </c>
      <c r="M25" s="11"/>
      <c r="N25" s="11" t="s">
        <v>1136</v>
      </c>
      <c r="O25" s="234" t="s">
        <v>217</v>
      </c>
      <c r="P25" s="11"/>
      <c r="Q25" s="11" t="s">
        <v>1136</v>
      </c>
      <c r="R25" s="8" t="s">
        <v>217</v>
      </c>
      <c r="S25" s="11"/>
      <c r="T25" s="11" t="s">
        <v>1136</v>
      </c>
      <c r="U25" s="8" t="s">
        <v>217</v>
      </c>
      <c r="V25" s="11"/>
      <c r="W25" s="11" t="s">
        <v>1136</v>
      </c>
      <c r="X25" s="8" t="s">
        <v>217</v>
      </c>
      <c r="Y25" s="11"/>
      <c r="Z25" s="11" t="s">
        <v>1136</v>
      </c>
      <c r="AA25" s="8" t="s">
        <v>217</v>
      </c>
      <c r="AB25" s="11"/>
      <c r="AC25" s="11" t="s">
        <v>1136</v>
      </c>
    </row>
    <row r="26" spans="1:29" s="90" customFormat="1" ht="25.5" customHeight="1">
      <c r="A26" s="154" t="s">
        <v>15</v>
      </c>
      <c r="B26" s="270" t="s">
        <v>1444</v>
      </c>
      <c r="C26" s="17">
        <v>39615</v>
      </c>
      <c r="D26" s="17">
        <v>45092</v>
      </c>
      <c r="E26" s="218" t="s">
        <v>1264</v>
      </c>
      <c r="F26" s="8" t="s">
        <v>220</v>
      </c>
      <c r="G26" s="233" t="s">
        <v>220</v>
      </c>
      <c r="H26" s="11" t="s">
        <v>1225</v>
      </c>
      <c r="I26" s="11" t="s">
        <v>1359</v>
      </c>
      <c r="J26" s="11"/>
      <c r="K26" s="11"/>
      <c r="L26" s="234">
        <v>889301.06</v>
      </c>
      <c r="M26" s="89"/>
      <c r="N26" s="89"/>
      <c r="O26" s="234">
        <v>886383.22</v>
      </c>
      <c r="P26" s="89"/>
      <c r="Q26" s="89"/>
      <c r="R26" s="8"/>
      <c r="S26" s="89"/>
      <c r="T26" s="89"/>
      <c r="U26" s="8"/>
      <c r="V26" s="89"/>
      <c r="W26" s="89"/>
      <c r="X26" s="8"/>
      <c r="Y26" s="89"/>
      <c r="Z26" s="89"/>
      <c r="AA26" s="8"/>
      <c r="AB26" s="89"/>
      <c r="AC26" s="89"/>
    </row>
    <row r="27" spans="1:29" ht="43.5" customHeight="1">
      <c r="A27" s="210" t="s">
        <v>22</v>
      </c>
      <c r="B27" s="270" t="s">
        <v>1444</v>
      </c>
      <c r="C27" s="17">
        <v>41989</v>
      </c>
      <c r="D27" s="17">
        <v>51560</v>
      </c>
      <c r="E27" s="218" t="s">
        <v>1305</v>
      </c>
      <c r="F27" s="8" t="s">
        <v>220</v>
      </c>
      <c r="G27" s="233" t="s">
        <v>220</v>
      </c>
      <c r="H27" s="11" t="s">
        <v>1225</v>
      </c>
      <c r="I27" s="11" t="s">
        <v>1360</v>
      </c>
      <c r="J27" s="11"/>
      <c r="K27" s="11"/>
      <c r="L27" s="234">
        <v>844525.32</v>
      </c>
      <c r="M27" s="11"/>
      <c r="N27" s="11"/>
      <c r="O27" s="232">
        <v>564525</v>
      </c>
      <c r="P27" s="11"/>
      <c r="Q27" s="11"/>
      <c r="R27" s="8" t="s">
        <v>217</v>
      </c>
      <c r="S27" s="11"/>
      <c r="T27" s="11"/>
      <c r="U27" s="8" t="s">
        <v>217</v>
      </c>
      <c r="V27" s="11"/>
      <c r="W27" s="11"/>
      <c r="X27" s="8" t="s">
        <v>217</v>
      </c>
      <c r="Y27" s="11"/>
      <c r="Z27" s="11"/>
      <c r="AA27" s="8" t="s">
        <v>217</v>
      </c>
      <c r="AB27" s="11"/>
      <c r="AC27" s="11"/>
    </row>
    <row r="28" spans="1:29" ht="144" customHeight="1">
      <c r="A28" s="154" t="s">
        <v>12</v>
      </c>
      <c r="B28" s="270" t="s">
        <v>1444</v>
      </c>
      <c r="C28" s="155">
        <v>42251</v>
      </c>
      <c r="D28" s="17">
        <v>46904</v>
      </c>
      <c r="E28" s="218" t="s">
        <v>1442</v>
      </c>
      <c r="F28" s="8" t="s">
        <v>239</v>
      </c>
      <c r="G28" s="233" t="s">
        <v>1215</v>
      </c>
      <c r="H28" s="11" t="s">
        <v>1225</v>
      </c>
      <c r="I28" s="11" t="s">
        <v>1351</v>
      </c>
      <c r="J28" s="11"/>
      <c r="K28" s="11"/>
      <c r="L28" s="8"/>
      <c r="M28" s="241">
        <v>300000</v>
      </c>
      <c r="N28" s="11" t="s">
        <v>259</v>
      </c>
      <c r="O28" s="11"/>
      <c r="P28" s="8" t="s">
        <v>217</v>
      </c>
      <c r="Q28" s="11" t="s">
        <v>259</v>
      </c>
      <c r="R28" s="11"/>
      <c r="S28" s="8" t="s">
        <v>217</v>
      </c>
      <c r="T28" s="11" t="s">
        <v>259</v>
      </c>
      <c r="U28" s="11"/>
      <c r="V28" s="8" t="s">
        <v>217</v>
      </c>
      <c r="W28" s="11" t="s">
        <v>259</v>
      </c>
      <c r="X28" s="11"/>
      <c r="Y28" s="8" t="s">
        <v>217</v>
      </c>
      <c r="Z28" s="11" t="s">
        <v>259</v>
      </c>
      <c r="AA28" s="11"/>
      <c r="AB28" s="8" t="s">
        <v>217</v>
      </c>
      <c r="AC28" s="11" t="s">
        <v>259</v>
      </c>
    </row>
    <row r="29" spans="1:29" ht="91.5" customHeight="1">
      <c r="A29" s="218" t="s">
        <v>49</v>
      </c>
      <c r="B29" s="270" t="s">
        <v>1444</v>
      </c>
      <c r="C29" s="17">
        <v>41394</v>
      </c>
      <c r="D29" s="17">
        <v>42887</v>
      </c>
      <c r="E29" s="218" t="s">
        <v>1262</v>
      </c>
      <c r="F29" s="8" t="s">
        <v>220</v>
      </c>
      <c r="G29" s="233" t="s">
        <v>220</v>
      </c>
      <c r="H29" s="11" t="s">
        <v>1236</v>
      </c>
      <c r="I29" s="11" t="s">
        <v>1361</v>
      </c>
      <c r="J29" s="11"/>
      <c r="K29" s="11"/>
      <c r="L29" s="234">
        <v>657049.56000000006</v>
      </c>
      <c r="M29" s="11"/>
      <c r="N29" s="11"/>
      <c r="O29" s="234">
        <v>744006.39</v>
      </c>
      <c r="P29" s="11"/>
      <c r="Q29" s="11"/>
      <c r="R29" s="8" t="s">
        <v>1293</v>
      </c>
      <c r="S29" s="11"/>
      <c r="T29" s="11"/>
      <c r="U29" s="8" t="s">
        <v>217</v>
      </c>
      <c r="V29" s="11"/>
      <c r="W29" s="11"/>
      <c r="X29" s="8" t="s">
        <v>217</v>
      </c>
      <c r="Y29" s="11"/>
      <c r="Z29" s="11"/>
      <c r="AA29" s="8" t="s">
        <v>217</v>
      </c>
      <c r="AB29" s="11"/>
      <c r="AC29" s="11"/>
    </row>
    <row r="30" spans="1:29" s="92" customFormat="1" ht="69" customHeight="1">
      <c r="A30" s="154" t="s">
        <v>54</v>
      </c>
      <c r="B30" s="270" t="s">
        <v>1444</v>
      </c>
      <c r="C30" s="155" t="s">
        <v>1436</v>
      </c>
      <c r="D30" s="155" t="s">
        <v>1438</v>
      </c>
      <c r="E30" s="154" t="s">
        <v>1449</v>
      </c>
      <c r="F30" s="156" t="s">
        <v>220</v>
      </c>
      <c r="G30" s="248" t="s">
        <v>220</v>
      </c>
      <c r="H30" s="157" t="s">
        <v>1225</v>
      </c>
      <c r="I30" s="157" t="s">
        <v>1363</v>
      </c>
      <c r="J30" s="157" t="s">
        <v>1440</v>
      </c>
      <c r="K30" s="157" t="s">
        <v>1437</v>
      </c>
      <c r="L30" s="269">
        <v>105000</v>
      </c>
      <c r="M30" s="157"/>
      <c r="N30" s="157"/>
      <c r="O30" s="269" t="s">
        <v>1439</v>
      </c>
      <c r="P30" s="157"/>
      <c r="Q30" s="157"/>
      <c r="R30" s="156"/>
      <c r="S30" s="157"/>
      <c r="T30" s="157" t="s">
        <v>1080</v>
      </c>
      <c r="U30" s="156"/>
      <c r="V30" s="157"/>
      <c r="W30" s="157"/>
      <c r="X30" s="156"/>
      <c r="Y30" s="157"/>
      <c r="Z30" s="157"/>
      <c r="AA30" s="156"/>
      <c r="AB30" s="157"/>
      <c r="AC30" s="157"/>
    </row>
    <row r="31" spans="1:29" ht="51.75" customHeight="1">
      <c r="A31" s="154" t="s">
        <v>60</v>
      </c>
      <c r="B31" s="270" t="s">
        <v>1444</v>
      </c>
      <c r="C31" s="155">
        <v>42061</v>
      </c>
      <c r="D31" s="155">
        <v>42064</v>
      </c>
      <c r="E31" s="271" t="s">
        <v>1385</v>
      </c>
      <c r="F31" s="8"/>
      <c r="G31" s="233"/>
      <c r="H31" s="8"/>
      <c r="I31" s="11"/>
      <c r="J31" s="8"/>
      <c r="K31" s="8"/>
      <c r="L31" s="8"/>
      <c r="M31" s="241"/>
      <c r="N31" s="11"/>
      <c r="O31" s="234"/>
      <c r="P31" s="219"/>
      <c r="Q31" s="11"/>
      <c r="R31" s="11"/>
      <c r="S31" s="8"/>
      <c r="T31" s="11"/>
      <c r="U31" s="11"/>
      <c r="V31" s="8"/>
      <c r="W31" s="11"/>
      <c r="X31" s="11"/>
      <c r="Y31" s="8"/>
      <c r="Z31" s="11"/>
      <c r="AA31" s="11"/>
      <c r="AB31" s="8"/>
      <c r="AC31" s="11"/>
    </row>
    <row r="32" spans="1:29" ht="25.5" customHeight="1">
      <c r="A32" s="154" t="s">
        <v>73</v>
      </c>
      <c r="B32" s="270" t="s">
        <v>1444</v>
      </c>
      <c r="C32" s="17">
        <v>41214</v>
      </c>
      <c r="D32" s="17">
        <v>42947</v>
      </c>
      <c r="E32" s="218" t="s">
        <v>1240</v>
      </c>
      <c r="F32" s="8" t="s">
        <v>220</v>
      </c>
      <c r="G32" s="233" t="s">
        <v>220</v>
      </c>
      <c r="H32" s="11" t="s">
        <v>1225</v>
      </c>
      <c r="I32" s="11" t="s">
        <v>1344</v>
      </c>
      <c r="J32" s="11"/>
      <c r="K32" s="11"/>
      <c r="L32" s="234">
        <v>193920</v>
      </c>
      <c r="M32" s="11"/>
      <c r="N32" s="11"/>
      <c r="O32" s="8" t="s">
        <v>217</v>
      </c>
      <c r="P32" s="8"/>
      <c r="Q32" s="11"/>
      <c r="R32" s="8" t="s">
        <v>217</v>
      </c>
      <c r="S32" s="8"/>
      <c r="T32" s="11"/>
      <c r="U32" s="8" t="s">
        <v>217</v>
      </c>
      <c r="V32" s="8"/>
      <c r="W32" s="11"/>
      <c r="X32" s="8" t="s">
        <v>217</v>
      </c>
      <c r="Y32" s="8"/>
      <c r="Z32" s="11"/>
      <c r="AA32" s="8" t="s">
        <v>217</v>
      </c>
      <c r="AB32" s="8"/>
      <c r="AC32" s="11"/>
    </row>
    <row r="33" spans="1:29" ht="59.25" customHeight="1">
      <c r="A33" s="154" t="s">
        <v>17</v>
      </c>
      <c r="B33" s="270" t="s">
        <v>1444</v>
      </c>
      <c r="C33" s="155">
        <v>41582</v>
      </c>
      <c r="D33" s="17">
        <v>44500</v>
      </c>
      <c r="E33" s="218" t="s">
        <v>1462</v>
      </c>
      <c r="F33" s="8" t="s">
        <v>239</v>
      </c>
      <c r="G33" s="233" t="s">
        <v>1215</v>
      </c>
      <c r="H33" s="11" t="s">
        <v>1225</v>
      </c>
      <c r="I33" s="11" t="s">
        <v>1344</v>
      </c>
      <c r="J33" s="11"/>
      <c r="K33" s="11"/>
      <c r="L33" s="8"/>
      <c r="M33" s="241">
        <v>3863850.95</v>
      </c>
      <c r="N33" s="31" t="s">
        <v>256</v>
      </c>
      <c r="O33" s="234"/>
      <c r="P33" s="8" t="s">
        <v>217</v>
      </c>
      <c r="Q33" s="31" t="s">
        <v>256</v>
      </c>
      <c r="R33" s="11"/>
      <c r="S33" s="272" t="s">
        <v>1463</v>
      </c>
      <c r="T33" s="31" t="s">
        <v>256</v>
      </c>
      <c r="U33" s="11"/>
      <c r="V33" s="8" t="s">
        <v>217</v>
      </c>
      <c r="W33" s="31" t="s">
        <v>256</v>
      </c>
      <c r="X33" s="11"/>
      <c r="Y33" s="8" t="s">
        <v>217</v>
      </c>
      <c r="Z33" s="31" t="s">
        <v>256</v>
      </c>
      <c r="AA33" s="11"/>
      <c r="AB33" s="8" t="s">
        <v>217</v>
      </c>
      <c r="AC33" s="31" t="s">
        <v>256</v>
      </c>
    </row>
    <row r="34" spans="1:29" ht="114.75">
      <c r="A34" s="154" t="s">
        <v>42</v>
      </c>
      <c r="B34" s="270" t="s">
        <v>1444</v>
      </c>
      <c r="C34" s="155">
        <v>41612</v>
      </c>
      <c r="D34" s="17">
        <v>42748</v>
      </c>
      <c r="E34" s="218" t="s">
        <v>1267</v>
      </c>
      <c r="F34" s="8" t="s">
        <v>218</v>
      </c>
      <c r="G34" s="233" t="s">
        <v>1144</v>
      </c>
      <c r="H34" s="11" t="s">
        <v>1225</v>
      </c>
      <c r="I34" s="11" t="s">
        <v>1362</v>
      </c>
      <c r="J34" s="11"/>
      <c r="K34" s="11"/>
      <c r="L34" s="234">
        <v>443140.89</v>
      </c>
      <c r="M34" s="11"/>
      <c r="N34" s="11" t="s">
        <v>254</v>
      </c>
      <c r="O34" s="234">
        <v>408849</v>
      </c>
      <c r="P34" s="11"/>
      <c r="Q34" s="11" t="s">
        <v>254</v>
      </c>
      <c r="R34" s="140">
        <v>441999</v>
      </c>
      <c r="S34" s="11"/>
      <c r="T34" s="11" t="s">
        <v>255</v>
      </c>
      <c r="U34" s="8"/>
      <c r="V34" s="11"/>
      <c r="W34" s="11"/>
      <c r="X34" s="8"/>
      <c r="Y34" s="11"/>
      <c r="Z34" s="11"/>
      <c r="AA34" s="8"/>
      <c r="AB34" s="11"/>
      <c r="AC34" s="11"/>
    </row>
    <row r="35" spans="1:29" ht="38.25" customHeight="1">
      <c r="A35" s="154" t="s">
        <v>1413</v>
      </c>
      <c r="B35" s="270" t="s">
        <v>1444</v>
      </c>
      <c r="C35" s="17" t="s">
        <v>1266</v>
      </c>
      <c r="D35" s="17">
        <v>43830</v>
      </c>
      <c r="E35" s="218" t="s">
        <v>1241</v>
      </c>
      <c r="F35" s="221" t="s">
        <v>220</v>
      </c>
      <c r="G35" s="236" t="s">
        <v>220</v>
      </c>
      <c r="H35" s="11" t="s">
        <v>1225</v>
      </c>
      <c r="J35" s="11"/>
      <c r="K35" s="11"/>
      <c r="L35" s="234">
        <v>361080</v>
      </c>
      <c r="M35" s="11"/>
      <c r="N35" s="11"/>
      <c r="O35" s="234" t="s">
        <v>1274</v>
      </c>
      <c r="P35" s="11"/>
      <c r="Q35" s="11"/>
      <c r="R35" s="30" t="s">
        <v>1084</v>
      </c>
      <c r="S35" s="11"/>
      <c r="T35" s="11"/>
      <c r="U35" s="30" t="s">
        <v>1084</v>
      </c>
      <c r="V35" s="11"/>
      <c r="W35" s="11"/>
      <c r="X35" s="30" t="s">
        <v>1084</v>
      </c>
      <c r="Y35" s="11"/>
      <c r="Z35" s="11"/>
      <c r="AA35" s="30" t="s">
        <v>1084</v>
      </c>
      <c r="AB35" s="11"/>
      <c r="AC35" s="11"/>
    </row>
    <row r="36" spans="1:29" ht="25.5" customHeight="1">
      <c r="A36" s="154" t="s">
        <v>31</v>
      </c>
      <c r="B36" s="270" t="s">
        <v>1444</v>
      </c>
      <c r="C36" s="155">
        <v>42150</v>
      </c>
      <c r="D36" s="155">
        <v>48154</v>
      </c>
      <c r="E36" s="218" t="s">
        <v>1421</v>
      </c>
      <c r="F36" s="221" t="s">
        <v>220</v>
      </c>
      <c r="G36" s="236" t="s">
        <v>220</v>
      </c>
      <c r="H36" s="11" t="s">
        <v>1225</v>
      </c>
      <c r="I36" s="11" t="s">
        <v>1348</v>
      </c>
      <c r="J36" s="11"/>
      <c r="K36" s="11"/>
      <c r="L36" s="234">
        <v>887353</v>
      </c>
      <c r="M36" s="11"/>
      <c r="N36" s="11"/>
      <c r="O36" s="234">
        <v>876039</v>
      </c>
      <c r="P36" s="11"/>
      <c r="Q36" s="11"/>
      <c r="R36" s="8" t="s">
        <v>217</v>
      </c>
      <c r="S36" s="11"/>
      <c r="T36" s="11"/>
      <c r="U36" s="8" t="s">
        <v>217</v>
      </c>
      <c r="V36" s="11"/>
      <c r="W36" s="11"/>
      <c r="X36" s="8" t="s">
        <v>217</v>
      </c>
      <c r="Y36" s="11"/>
      <c r="Z36" s="11"/>
      <c r="AA36" s="8" t="s">
        <v>217</v>
      </c>
      <c r="AB36" s="11"/>
      <c r="AC36" s="11"/>
    </row>
    <row r="37" spans="1:29" s="90" customFormat="1" ht="102.75" customHeight="1">
      <c r="A37" s="154" t="s">
        <v>13</v>
      </c>
      <c r="B37" s="270" t="s">
        <v>1444</v>
      </c>
      <c r="C37" s="155">
        <v>42251</v>
      </c>
      <c r="D37" s="17">
        <v>46879</v>
      </c>
      <c r="E37" s="239" t="s">
        <v>1426</v>
      </c>
      <c r="F37" s="221" t="s">
        <v>220</v>
      </c>
      <c r="G37" s="236" t="s">
        <v>220</v>
      </c>
      <c r="H37" s="11" t="s">
        <v>1225</v>
      </c>
      <c r="I37" s="11" t="s">
        <v>1346</v>
      </c>
      <c r="J37" s="8" t="s">
        <v>221</v>
      </c>
      <c r="K37" s="8" t="s">
        <v>221</v>
      </c>
      <c r="L37" s="234">
        <v>53281</v>
      </c>
      <c r="M37" s="89"/>
      <c r="N37" s="89"/>
      <c r="O37" s="234">
        <f>+L37</f>
        <v>53281</v>
      </c>
      <c r="P37" s="89"/>
      <c r="Q37" s="89"/>
      <c r="R37" s="232">
        <f>L37</f>
        <v>53281</v>
      </c>
      <c r="S37" s="89"/>
      <c r="T37" s="89"/>
      <c r="U37" s="8" t="s">
        <v>217</v>
      </c>
      <c r="V37" s="89"/>
      <c r="W37" s="89"/>
      <c r="X37" s="8" t="s">
        <v>217</v>
      </c>
      <c r="Y37" s="89"/>
      <c r="Z37" s="89"/>
      <c r="AA37" s="8" t="s">
        <v>217</v>
      </c>
      <c r="AB37" s="89"/>
      <c r="AC37" s="89"/>
    </row>
    <row r="38" spans="1:29" ht="87" customHeight="1">
      <c r="A38" s="154" t="s">
        <v>40</v>
      </c>
      <c r="B38" s="270" t="s">
        <v>1444</v>
      </c>
      <c r="C38" s="155">
        <v>41821</v>
      </c>
      <c r="D38" s="17">
        <v>47848</v>
      </c>
      <c r="E38" s="218" t="s">
        <v>1458</v>
      </c>
      <c r="F38" s="8" t="s">
        <v>218</v>
      </c>
      <c r="G38" s="233" t="s">
        <v>1144</v>
      </c>
      <c r="H38" s="11" t="s">
        <v>1225</v>
      </c>
      <c r="I38" s="223" t="s">
        <v>1364</v>
      </c>
      <c r="J38" s="223"/>
      <c r="K38" s="223"/>
      <c r="L38" s="234" t="s">
        <v>1456</v>
      </c>
      <c r="M38" s="11"/>
      <c r="N38" s="11" t="s">
        <v>242</v>
      </c>
      <c r="O38" s="234" t="s">
        <v>1457</v>
      </c>
      <c r="P38" s="11"/>
      <c r="Q38" s="11" t="s">
        <v>242</v>
      </c>
      <c r="R38" s="234" t="s">
        <v>1457</v>
      </c>
      <c r="S38" s="28"/>
      <c r="T38" s="11" t="s">
        <v>242</v>
      </c>
      <c r="U38" s="234" t="s">
        <v>1459</v>
      </c>
      <c r="V38" s="11"/>
      <c r="W38" s="11" t="s">
        <v>243</v>
      </c>
      <c r="X38" s="234" t="s">
        <v>1460</v>
      </c>
      <c r="Y38" s="11"/>
      <c r="Z38" s="11" t="s">
        <v>243</v>
      </c>
      <c r="AA38" s="8" t="s">
        <v>217</v>
      </c>
      <c r="AB38" s="11"/>
      <c r="AC38" s="11" t="s">
        <v>243</v>
      </c>
    </row>
    <row r="39" spans="1:29" s="92" customFormat="1" ht="73.5" customHeight="1">
      <c r="A39" s="226" t="s">
        <v>36</v>
      </c>
      <c r="B39" s="270" t="s">
        <v>1444</v>
      </c>
      <c r="C39" s="230">
        <v>40909</v>
      </c>
      <c r="D39" s="230">
        <v>43126</v>
      </c>
      <c r="E39" s="218" t="s">
        <v>1321</v>
      </c>
      <c r="F39" s="225" t="s">
        <v>239</v>
      </c>
      <c r="G39" s="246" t="s">
        <v>1215</v>
      </c>
      <c r="H39" s="263" t="s">
        <v>1323</v>
      </c>
      <c r="I39" s="264" t="s">
        <v>1348</v>
      </c>
      <c r="J39" s="264"/>
      <c r="K39" s="264"/>
      <c r="L39" s="189"/>
      <c r="M39" s="234" t="s">
        <v>1322</v>
      </c>
      <c r="N39" s="220" t="s">
        <v>1086</v>
      </c>
      <c r="P39" s="225" t="s">
        <v>217</v>
      </c>
      <c r="Q39" s="220" t="s">
        <v>1086</v>
      </c>
      <c r="S39" s="225" t="s">
        <v>217</v>
      </c>
      <c r="T39" s="220" t="s">
        <v>1086</v>
      </c>
      <c r="V39" s="225" t="s">
        <v>217</v>
      </c>
      <c r="W39" s="220" t="s">
        <v>1086</v>
      </c>
      <c r="Y39" s="225" t="s">
        <v>217</v>
      </c>
      <c r="Z39" s="220" t="s">
        <v>1086</v>
      </c>
      <c r="AB39" s="225" t="s">
        <v>217</v>
      </c>
      <c r="AC39" s="220" t="s">
        <v>1086</v>
      </c>
    </row>
    <row r="40" spans="1:29" ht="114" customHeight="1">
      <c r="A40" s="210" t="s">
        <v>1</v>
      </c>
      <c r="B40" s="270" t="s">
        <v>1444</v>
      </c>
      <c r="C40" s="155">
        <v>41917</v>
      </c>
      <c r="D40" s="17">
        <v>44597</v>
      </c>
      <c r="E40" s="231" t="s">
        <v>1443</v>
      </c>
      <c r="F40" s="221" t="s">
        <v>220</v>
      </c>
      <c r="G40" s="236" t="s">
        <v>220</v>
      </c>
      <c r="H40" s="11" t="s">
        <v>1225</v>
      </c>
      <c r="I40" s="224" t="s">
        <v>1348</v>
      </c>
      <c r="J40" s="224"/>
      <c r="K40" s="224"/>
      <c r="L40" s="234">
        <v>2448841</v>
      </c>
      <c r="M40" s="157"/>
      <c r="N40" s="157"/>
      <c r="O40" s="234">
        <f>230792*12</f>
        <v>2769504</v>
      </c>
      <c r="P40" s="157"/>
      <c r="Q40" s="157"/>
      <c r="R40" s="8" t="s">
        <v>1294</v>
      </c>
      <c r="S40" s="11"/>
      <c r="T40" s="11"/>
      <c r="U40" s="8" t="s">
        <v>217</v>
      </c>
      <c r="V40" s="11"/>
      <c r="W40" s="11"/>
      <c r="X40" s="8" t="s">
        <v>217</v>
      </c>
      <c r="Y40" s="11"/>
      <c r="Z40" s="11"/>
      <c r="AA40" s="8" t="s">
        <v>217</v>
      </c>
      <c r="AB40" s="11"/>
      <c r="AC40" s="11"/>
    </row>
    <row r="41" spans="1:29" ht="127.5">
      <c r="A41" s="218" t="s">
        <v>21</v>
      </c>
      <c r="B41" s="270" t="s">
        <v>1444</v>
      </c>
      <c r="C41" s="17">
        <v>41989</v>
      </c>
      <c r="D41" s="17">
        <v>51560</v>
      </c>
      <c r="E41" s="218" t="s">
        <v>1304</v>
      </c>
      <c r="F41" s="221" t="s">
        <v>220</v>
      </c>
      <c r="G41" s="236" t="s">
        <v>220</v>
      </c>
      <c r="H41" s="11" t="s">
        <v>1225</v>
      </c>
      <c r="I41" s="11" t="s">
        <v>1365</v>
      </c>
      <c r="J41" s="11"/>
      <c r="K41" s="11"/>
      <c r="L41" s="234">
        <v>1459273.55</v>
      </c>
      <c r="M41" s="11"/>
      <c r="N41" s="11"/>
      <c r="O41" s="232">
        <v>1400000</v>
      </c>
      <c r="P41" s="157"/>
      <c r="Q41" s="157"/>
      <c r="R41" s="8" t="s">
        <v>217</v>
      </c>
      <c r="S41" s="11"/>
      <c r="T41" s="11"/>
      <c r="U41" s="8" t="s">
        <v>217</v>
      </c>
      <c r="V41" s="11"/>
      <c r="W41" s="11"/>
      <c r="X41" s="8" t="s">
        <v>217</v>
      </c>
      <c r="Y41" s="11"/>
      <c r="Z41" s="11"/>
      <c r="AA41" s="8" t="s">
        <v>217</v>
      </c>
      <c r="AB41" s="11"/>
      <c r="AC41" s="11"/>
    </row>
    <row r="42" spans="1:29" ht="76.5">
      <c r="A42" s="154" t="s">
        <v>58</v>
      </c>
      <c r="B42" s="270" t="s">
        <v>1444</v>
      </c>
      <c r="C42" s="17">
        <v>42216</v>
      </c>
      <c r="D42" s="17">
        <v>43848</v>
      </c>
      <c r="E42" s="218" t="s">
        <v>1411</v>
      </c>
      <c r="F42" s="8" t="s">
        <v>218</v>
      </c>
      <c r="G42" s="233" t="s">
        <v>1145</v>
      </c>
      <c r="H42" s="11" t="s">
        <v>1352</v>
      </c>
      <c r="I42" s="11" t="s">
        <v>1346</v>
      </c>
      <c r="J42" s="11"/>
      <c r="K42" s="11" t="s">
        <v>1343</v>
      </c>
      <c r="L42" s="234">
        <v>507154.92000000004</v>
      </c>
      <c r="M42" s="11"/>
      <c r="N42" s="11" t="s">
        <v>1129</v>
      </c>
      <c r="O42" s="8" t="s">
        <v>217</v>
      </c>
      <c r="P42" s="157"/>
      <c r="Q42" s="157" t="s">
        <v>1129</v>
      </c>
      <c r="R42" s="8" t="s">
        <v>217</v>
      </c>
      <c r="S42" s="11"/>
      <c r="T42" s="11" t="s">
        <v>1129</v>
      </c>
      <c r="U42" s="8" t="s">
        <v>217</v>
      </c>
      <c r="V42" s="11"/>
      <c r="W42" s="11" t="s">
        <v>1129</v>
      </c>
      <c r="X42" s="8" t="s">
        <v>217</v>
      </c>
      <c r="Y42" s="11"/>
      <c r="Z42" s="11" t="s">
        <v>1129</v>
      </c>
      <c r="AA42" s="8" t="s">
        <v>217</v>
      </c>
      <c r="AB42" s="11"/>
      <c r="AC42" s="11" t="s">
        <v>1129</v>
      </c>
    </row>
    <row r="43" spans="1:29" ht="102">
      <c r="A43" s="154" t="s">
        <v>1461</v>
      </c>
      <c r="B43" s="270" t="s">
        <v>1444</v>
      </c>
      <c r="C43" s="230">
        <v>42370</v>
      </c>
      <c r="D43" s="227">
        <v>44770</v>
      </c>
      <c r="E43" s="231" t="s">
        <v>1478</v>
      </c>
      <c r="F43" s="221" t="s">
        <v>220</v>
      </c>
      <c r="G43" s="236" t="s">
        <v>220</v>
      </c>
      <c r="H43" s="223" t="s">
        <v>1225</v>
      </c>
      <c r="I43" s="223" t="s">
        <v>1366</v>
      </c>
      <c r="J43" s="223"/>
      <c r="K43" s="223"/>
      <c r="L43" s="245">
        <v>1863984.45</v>
      </c>
      <c r="M43" s="256"/>
      <c r="N43" s="256"/>
      <c r="O43" s="234">
        <v>1992684</v>
      </c>
      <c r="P43" s="157"/>
      <c r="Q43" s="157"/>
      <c r="R43" s="234" t="s">
        <v>1479</v>
      </c>
      <c r="S43" s="221"/>
      <c r="T43" s="221"/>
      <c r="U43" s="234" t="s">
        <v>1479</v>
      </c>
      <c r="V43" s="221"/>
      <c r="W43" s="221"/>
      <c r="X43" s="234" t="s">
        <v>1479</v>
      </c>
      <c r="Y43" s="221"/>
      <c r="Z43" s="221"/>
      <c r="AA43" s="234" t="s">
        <v>1479</v>
      </c>
      <c r="AB43" s="221"/>
      <c r="AC43" s="221"/>
    </row>
    <row r="44" spans="1:29" ht="76.5" customHeight="1">
      <c r="A44" s="154" t="s">
        <v>34</v>
      </c>
      <c r="B44" s="270" t="s">
        <v>1444</v>
      </c>
      <c r="C44" s="155">
        <v>41848</v>
      </c>
      <c r="D44" s="17">
        <v>46387</v>
      </c>
      <c r="E44" s="218" t="s">
        <v>1280</v>
      </c>
      <c r="F44" s="8" t="s">
        <v>218</v>
      </c>
      <c r="G44" s="233" t="s">
        <v>1144</v>
      </c>
      <c r="H44" s="11" t="s">
        <v>1328</v>
      </c>
      <c r="I44" s="11" t="s">
        <v>1366</v>
      </c>
      <c r="J44" s="11"/>
      <c r="K44" s="11"/>
      <c r="L44" s="234">
        <v>1364948.18</v>
      </c>
      <c r="M44" s="168"/>
      <c r="N44" s="11" t="s">
        <v>1279</v>
      </c>
      <c r="O44" s="234">
        <v>1345572</v>
      </c>
      <c r="P44" s="11"/>
      <c r="Q44" s="11" t="s">
        <v>1279</v>
      </c>
      <c r="R44" s="8" t="s">
        <v>1287</v>
      </c>
      <c r="S44" s="11"/>
      <c r="T44" s="11" t="s">
        <v>1279</v>
      </c>
      <c r="U44" s="8" t="s">
        <v>241</v>
      </c>
      <c r="V44" s="11"/>
      <c r="W44" s="11" t="s">
        <v>1279</v>
      </c>
      <c r="X44" s="8" t="s">
        <v>241</v>
      </c>
      <c r="Y44" s="11"/>
      <c r="Z44" s="11"/>
      <c r="AA44" s="8" t="s">
        <v>241</v>
      </c>
      <c r="AB44" s="11"/>
      <c r="AC44" s="11"/>
    </row>
    <row r="45" spans="1:29" ht="85.5" customHeight="1">
      <c r="A45" s="154" t="s">
        <v>50</v>
      </c>
      <c r="B45" s="270" t="s">
        <v>1444</v>
      </c>
      <c r="C45" s="17">
        <v>36447</v>
      </c>
      <c r="D45" s="17">
        <v>45578</v>
      </c>
      <c r="E45" s="218" t="s">
        <v>1472</v>
      </c>
      <c r="F45" s="8" t="s">
        <v>218</v>
      </c>
      <c r="G45" s="233" t="s">
        <v>1145</v>
      </c>
      <c r="H45" s="11" t="s">
        <v>1347</v>
      </c>
      <c r="I45" s="11" t="s">
        <v>1346</v>
      </c>
      <c r="J45" s="11"/>
      <c r="K45" s="11"/>
      <c r="L45" s="234">
        <v>416505.67</v>
      </c>
      <c r="M45" s="11"/>
      <c r="N45" s="11" t="s">
        <v>1136</v>
      </c>
      <c r="O45" s="8" t="s">
        <v>217</v>
      </c>
      <c r="P45" s="11"/>
      <c r="Q45" s="11" t="s">
        <v>1136</v>
      </c>
      <c r="R45" s="8" t="s">
        <v>217</v>
      </c>
      <c r="S45" s="11"/>
      <c r="T45" s="11" t="s">
        <v>1136</v>
      </c>
      <c r="U45" s="8" t="s">
        <v>217</v>
      </c>
      <c r="V45" s="11"/>
      <c r="W45" s="11" t="s">
        <v>1136</v>
      </c>
      <c r="X45" s="8" t="s">
        <v>217</v>
      </c>
      <c r="Y45" s="11"/>
      <c r="Z45" s="11" t="s">
        <v>1136</v>
      </c>
      <c r="AA45" s="8" t="s">
        <v>217</v>
      </c>
      <c r="AB45" s="11"/>
      <c r="AC45" s="11" t="s">
        <v>1136</v>
      </c>
    </row>
    <row r="46" spans="1:29" ht="98.25" customHeight="1">
      <c r="A46" s="154" t="s">
        <v>67</v>
      </c>
      <c r="B46" s="270" t="s">
        <v>1444</v>
      </c>
      <c r="C46" s="155">
        <v>41673</v>
      </c>
      <c r="D46" s="17">
        <v>42755</v>
      </c>
      <c r="E46" s="218" t="s">
        <v>1237</v>
      </c>
      <c r="F46" s="8" t="s">
        <v>220</v>
      </c>
      <c r="G46" s="233" t="s">
        <v>220</v>
      </c>
      <c r="H46" s="11" t="s">
        <v>1225</v>
      </c>
      <c r="I46" s="11" t="s">
        <v>1367</v>
      </c>
      <c r="J46" s="11"/>
      <c r="K46" s="11"/>
      <c r="L46" s="234">
        <v>395701.9</v>
      </c>
      <c r="M46" s="11"/>
      <c r="N46" s="11"/>
      <c r="O46" s="234">
        <f>33064*12</f>
        <v>396768</v>
      </c>
      <c r="P46" s="11"/>
      <c r="Q46" s="11"/>
      <c r="R46" s="8" t="s">
        <v>1288</v>
      </c>
      <c r="S46" s="11"/>
      <c r="T46" s="11"/>
      <c r="U46" s="8" t="s">
        <v>217</v>
      </c>
      <c r="V46" s="11"/>
      <c r="W46" s="11"/>
      <c r="X46" s="8" t="s">
        <v>217</v>
      </c>
      <c r="Y46" s="11"/>
      <c r="Z46" s="11"/>
      <c r="AA46" s="8" t="s">
        <v>217</v>
      </c>
      <c r="AB46" s="11"/>
      <c r="AC46" s="11"/>
    </row>
    <row r="47" spans="1:29" ht="101.25" customHeight="1">
      <c r="A47" s="154" t="s">
        <v>4</v>
      </c>
      <c r="B47" s="270" t="s">
        <v>1444</v>
      </c>
      <c r="C47" s="17">
        <v>37926</v>
      </c>
      <c r="D47" s="17">
        <v>45230</v>
      </c>
      <c r="E47" s="218" t="s">
        <v>1453</v>
      </c>
      <c r="F47" s="8" t="s">
        <v>284</v>
      </c>
      <c r="G47" s="233" t="s">
        <v>1452</v>
      </c>
      <c r="H47" s="11" t="s">
        <v>1225</v>
      </c>
      <c r="I47" s="11" t="s">
        <v>1451</v>
      </c>
      <c r="J47" s="11" t="s">
        <v>221</v>
      </c>
      <c r="K47" s="11" t="s">
        <v>221</v>
      </c>
      <c r="L47" s="234" t="s">
        <v>1455</v>
      </c>
      <c r="M47" s="11"/>
      <c r="N47" s="11" t="s">
        <v>1454</v>
      </c>
      <c r="O47" s="234" t="s">
        <v>1455</v>
      </c>
      <c r="P47" s="11"/>
      <c r="Q47" s="11" t="s">
        <v>1454</v>
      </c>
      <c r="R47" s="8" t="s">
        <v>217</v>
      </c>
      <c r="S47" s="11"/>
      <c r="T47" s="11" t="s">
        <v>1454</v>
      </c>
      <c r="U47" s="8" t="s">
        <v>217</v>
      </c>
      <c r="V47" s="11"/>
      <c r="W47" s="11" t="s">
        <v>1454</v>
      </c>
      <c r="X47" s="8" t="s">
        <v>217</v>
      </c>
      <c r="Y47" s="11"/>
      <c r="Z47" s="11" t="s">
        <v>1454</v>
      </c>
      <c r="AA47" s="8" t="s">
        <v>217</v>
      </c>
      <c r="AB47" s="11"/>
      <c r="AC47" s="11" t="s">
        <v>1454</v>
      </c>
    </row>
    <row r="48" spans="1:29" ht="36" customHeight="1">
      <c r="A48" s="226" t="s">
        <v>37</v>
      </c>
      <c r="B48" s="270" t="s">
        <v>1444</v>
      </c>
      <c r="C48" s="227">
        <v>40909</v>
      </c>
      <c r="D48" s="227">
        <v>43126</v>
      </c>
      <c r="E48" s="154" t="s">
        <v>1319</v>
      </c>
      <c r="F48" s="156" t="s">
        <v>220</v>
      </c>
      <c r="G48" s="248" t="s">
        <v>220</v>
      </c>
      <c r="H48" s="220" t="s">
        <v>1320</v>
      </c>
      <c r="I48" s="220" t="s">
        <v>1344</v>
      </c>
      <c r="J48" s="220"/>
      <c r="K48" s="220"/>
      <c r="L48" s="234">
        <f>45329.58*12+2684.96*12</f>
        <v>576174.48</v>
      </c>
      <c r="M48" s="247"/>
      <c r="N48" s="249"/>
      <c r="O48" s="234" t="s">
        <v>217</v>
      </c>
      <c r="P48" s="229"/>
      <c r="Q48" s="223"/>
      <c r="R48" s="221"/>
      <c r="S48" s="221" t="s">
        <v>217</v>
      </c>
      <c r="T48" s="223"/>
      <c r="U48" s="221"/>
      <c r="V48" s="221" t="s">
        <v>217</v>
      </c>
      <c r="W48" s="223"/>
      <c r="X48" s="221"/>
      <c r="Y48" s="221" t="s">
        <v>217</v>
      </c>
      <c r="Z48" s="223"/>
      <c r="AA48" s="221"/>
      <c r="AB48" s="221" t="s">
        <v>217</v>
      </c>
      <c r="AC48" s="223"/>
    </row>
    <row r="49" spans="1:29" s="92" customFormat="1" ht="25.5" customHeight="1">
      <c r="A49" s="154" t="s">
        <v>16</v>
      </c>
      <c r="B49" s="270" t="s">
        <v>1444</v>
      </c>
      <c r="C49" s="155">
        <v>39615</v>
      </c>
      <c r="D49" s="155">
        <v>45092</v>
      </c>
      <c r="E49" s="154" t="s">
        <v>1265</v>
      </c>
      <c r="F49" s="156" t="s">
        <v>220</v>
      </c>
      <c r="G49" s="248" t="s">
        <v>220</v>
      </c>
      <c r="H49" s="157" t="s">
        <v>1225</v>
      </c>
      <c r="I49" s="157" t="s">
        <v>1359</v>
      </c>
      <c r="J49" s="157"/>
      <c r="K49" s="157"/>
      <c r="L49" s="234">
        <v>634840.72</v>
      </c>
      <c r="M49" s="157"/>
      <c r="N49" s="159"/>
      <c r="O49" s="234">
        <v>634066.81000000006</v>
      </c>
      <c r="P49" s="157"/>
      <c r="Q49" s="157"/>
      <c r="R49" s="156"/>
      <c r="S49" s="157"/>
      <c r="T49" s="157"/>
      <c r="U49" s="156"/>
      <c r="V49" s="157"/>
      <c r="W49" s="157"/>
      <c r="X49" s="156"/>
      <c r="Y49" s="157"/>
      <c r="Z49" s="157"/>
      <c r="AA49" s="156"/>
      <c r="AB49" s="157"/>
      <c r="AC49" s="157"/>
    </row>
    <row r="50" spans="1:29" ht="25.5" customHeight="1">
      <c r="A50" s="154" t="s">
        <v>1412</v>
      </c>
      <c r="B50" s="270" t="s">
        <v>1444</v>
      </c>
      <c r="C50" s="17">
        <v>40087</v>
      </c>
      <c r="D50" s="17">
        <v>51560</v>
      </c>
      <c r="E50" s="218" t="s">
        <v>1137</v>
      </c>
      <c r="F50" s="8" t="s">
        <v>220</v>
      </c>
      <c r="G50" s="233" t="s">
        <v>220</v>
      </c>
      <c r="H50" s="157" t="s">
        <v>1225</v>
      </c>
      <c r="I50" s="157"/>
      <c r="J50" s="157"/>
      <c r="K50" s="157"/>
      <c r="L50" s="234">
        <v>609288</v>
      </c>
      <c r="M50" s="11"/>
      <c r="N50" s="11"/>
      <c r="O50" s="234" t="s">
        <v>217</v>
      </c>
      <c r="P50" s="11"/>
      <c r="Q50" s="11"/>
      <c r="R50" s="8" t="s">
        <v>217</v>
      </c>
      <c r="S50" s="11"/>
      <c r="T50" s="11"/>
      <c r="U50" s="8" t="s">
        <v>217</v>
      </c>
      <c r="V50" s="11"/>
      <c r="W50" s="11"/>
      <c r="X50" s="8" t="s">
        <v>217</v>
      </c>
      <c r="Y50" s="11"/>
      <c r="Z50" s="11"/>
      <c r="AA50" s="8" t="s">
        <v>217</v>
      </c>
      <c r="AB50" s="11"/>
      <c r="AC50" s="11"/>
    </row>
    <row r="51" spans="1:29" ht="25.5" customHeight="1">
      <c r="A51" s="154" t="s">
        <v>62</v>
      </c>
      <c r="B51" s="270" t="s">
        <v>1444</v>
      </c>
      <c r="C51" s="17">
        <v>41091</v>
      </c>
      <c r="D51" s="17">
        <v>43008</v>
      </c>
      <c r="E51" s="218" t="s">
        <v>1230</v>
      </c>
      <c r="F51" s="8" t="s">
        <v>284</v>
      </c>
      <c r="G51" s="233" t="s">
        <v>1216</v>
      </c>
      <c r="H51" s="11" t="s">
        <v>1225</v>
      </c>
      <c r="I51" s="11" t="s">
        <v>1344</v>
      </c>
      <c r="J51" s="11"/>
      <c r="K51" s="11"/>
      <c r="L51" s="234"/>
      <c r="M51" s="241">
        <v>200599.19999999998</v>
      </c>
      <c r="N51" s="11" t="s">
        <v>1094</v>
      </c>
      <c r="O51" s="234"/>
      <c r="P51" s="8" t="s">
        <v>217</v>
      </c>
      <c r="Q51" s="11" t="s">
        <v>1094</v>
      </c>
      <c r="R51" s="11"/>
      <c r="S51" s="8" t="s">
        <v>217</v>
      </c>
      <c r="T51" s="11" t="s">
        <v>1094</v>
      </c>
      <c r="U51" s="11"/>
      <c r="V51" s="8" t="s">
        <v>217</v>
      </c>
      <c r="W51" s="11" t="s">
        <v>1094</v>
      </c>
      <c r="X51" s="11"/>
      <c r="Y51" s="8" t="s">
        <v>217</v>
      </c>
      <c r="Z51" s="11" t="s">
        <v>1094</v>
      </c>
      <c r="AA51" s="11"/>
      <c r="AB51" s="8" t="s">
        <v>217</v>
      </c>
      <c r="AC51" s="11" t="s">
        <v>1094</v>
      </c>
    </row>
    <row r="52" spans="1:29" ht="33" customHeight="1">
      <c r="A52" s="154" t="s">
        <v>72</v>
      </c>
      <c r="B52" s="270" t="s">
        <v>1444</v>
      </c>
      <c r="C52" s="17">
        <v>36276</v>
      </c>
      <c r="D52" s="17">
        <v>42247</v>
      </c>
      <c r="E52" s="218" t="s">
        <v>1446</v>
      </c>
      <c r="F52" s="8" t="s">
        <v>239</v>
      </c>
      <c r="G52" s="233" t="s">
        <v>1143</v>
      </c>
      <c r="H52" s="8" t="s">
        <v>221</v>
      </c>
      <c r="I52" s="8" t="s">
        <v>221</v>
      </c>
      <c r="J52" s="8"/>
      <c r="K52" s="8"/>
      <c r="L52" s="8"/>
      <c r="M52" s="11"/>
      <c r="N52" s="11" t="s">
        <v>1095</v>
      </c>
      <c r="O52" s="234"/>
      <c r="P52" s="11"/>
      <c r="Q52" s="11" t="s">
        <v>1095</v>
      </c>
      <c r="R52" s="11"/>
      <c r="S52" s="11"/>
      <c r="T52" s="11"/>
      <c r="U52" s="11"/>
      <c r="V52" s="11"/>
      <c r="W52" s="11"/>
      <c r="X52" s="11"/>
      <c r="Y52" s="11"/>
      <c r="Z52" s="11"/>
      <c r="AA52" s="11"/>
      <c r="AB52" s="11"/>
      <c r="AC52" s="11"/>
    </row>
    <row r="53" spans="1:29" ht="47.25" customHeight="1">
      <c r="A53" s="154" t="s">
        <v>29</v>
      </c>
      <c r="B53" s="270" t="s">
        <v>1444</v>
      </c>
      <c r="C53" s="155">
        <v>41684</v>
      </c>
      <c r="D53" s="17">
        <v>46661</v>
      </c>
      <c r="E53" s="218" t="s">
        <v>1324</v>
      </c>
      <c r="F53" s="8" t="s">
        <v>220</v>
      </c>
      <c r="G53" s="233" t="s">
        <v>220</v>
      </c>
      <c r="H53" s="157" t="s">
        <v>1232</v>
      </c>
      <c r="I53" s="157" t="s">
        <v>1368</v>
      </c>
      <c r="J53" s="157"/>
      <c r="K53" s="157"/>
      <c r="L53" s="234">
        <v>2472982.71</v>
      </c>
      <c r="M53" s="11"/>
      <c r="N53" s="11"/>
      <c r="O53" s="234">
        <f>205928*3+205104*9</f>
        <v>2463720</v>
      </c>
      <c r="P53" s="11"/>
      <c r="Q53" s="11"/>
      <c r="R53" s="234" t="s">
        <v>217</v>
      </c>
      <c r="S53" s="11"/>
      <c r="T53" s="11"/>
      <c r="U53" s="8" t="s">
        <v>217</v>
      </c>
      <c r="V53" s="11"/>
      <c r="W53" s="11"/>
      <c r="X53" s="8" t="s">
        <v>217</v>
      </c>
      <c r="Y53" s="11"/>
      <c r="Z53" s="11"/>
      <c r="AA53" s="8" t="s">
        <v>217</v>
      </c>
      <c r="AB53" s="11"/>
      <c r="AC53" s="11"/>
    </row>
    <row r="54" spans="1:29" ht="63.75" customHeight="1">
      <c r="A54" s="154" t="s">
        <v>1410</v>
      </c>
      <c r="B54" s="270" t="s">
        <v>1444</v>
      </c>
      <c r="C54" s="155">
        <v>41917</v>
      </c>
      <c r="D54" s="17">
        <v>46915</v>
      </c>
      <c r="E54" s="239" t="s">
        <v>1275</v>
      </c>
      <c r="F54" s="8" t="s">
        <v>1276</v>
      </c>
      <c r="G54" s="233" t="s">
        <v>220</v>
      </c>
      <c r="H54" s="11" t="s">
        <v>1225</v>
      </c>
      <c r="I54" s="11"/>
      <c r="J54" s="11"/>
      <c r="K54" s="11"/>
      <c r="L54" s="234">
        <v>1704796.5</v>
      </c>
      <c r="M54" s="11"/>
      <c r="N54" s="11"/>
      <c r="O54" s="234">
        <v>1700000</v>
      </c>
      <c r="P54" s="254"/>
      <c r="Q54" s="11"/>
      <c r="R54" s="8" t="s">
        <v>1466</v>
      </c>
      <c r="S54" s="11"/>
      <c r="T54" s="11" t="s">
        <v>1238</v>
      </c>
      <c r="U54" s="8" t="s">
        <v>217</v>
      </c>
      <c r="V54" s="11"/>
      <c r="W54" s="11" t="s">
        <v>1238</v>
      </c>
      <c r="X54" s="8" t="s">
        <v>217</v>
      </c>
      <c r="Y54" s="11"/>
      <c r="Z54" s="11"/>
      <c r="AA54" s="8" t="s">
        <v>217</v>
      </c>
      <c r="AB54" s="11"/>
      <c r="AC54" s="11"/>
    </row>
    <row r="55" spans="1:29" ht="38.25" customHeight="1">
      <c r="A55" s="154" t="s">
        <v>1405</v>
      </c>
      <c r="B55" s="270" t="s">
        <v>1444</v>
      </c>
      <c r="C55" s="155">
        <v>41851</v>
      </c>
      <c r="D55" s="17">
        <v>45901</v>
      </c>
      <c r="E55" s="218" t="s">
        <v>1278</v>
      </c>
      <c r="F55" s="8" t="s">
        <v>220</v>
      </c>
      <c r="G55" s="233" t="s">
        <v>220</v>
      </c>
      <c r="H55" s="11" t="s">
        <v>1331</v>
      </c>
      <c r="I55" s="11"/>
      <c r="J55" s="11"/>
      <c r="K55" s="11"/>
      <c r="L55" s="234">
        <v>857518.02</v>
      </c>
      <c r="M55" s="11"/>
      <c r="N55" s="11"/>
      <c r="O55" s="234">
        <v>700000</v>
      </c>
      <c r="P55" s="254"/>
      <c r="Q55" s="11"/>
      <c r="R55" s="8" t="s">
        <v>1289</v>
      </c>
      <c r="S55" s="11"/>
      <c r="T55" s="11"/>
      <c r="U55" s="8" t="s">
        <v>217</v>
      </c>
      <c r="V55" s="11"/>
      <c r="W55" s="11"/>
      <c r="X55" s="8" t="s">
        <v>217</v>
      </c>
      <c r="Y55" s="11"/>
      <c r="Z55" s="11"/>
      <c r="AA55" s="8" t="s">
        <v>217</v>
      </c>
      <c r="AB55" s="11"/>
      <c r="AC55" s="11"/>
    </row>
    <row r="56" spans="1:29" ht="81.75" customHeight="1">
      <c r="A56" s="154" t="s">
        <v>1402</v>
      </c>
      <c r="B56" s="270" t="s">
        <v>1444</v>
      </c>
      <c r="C56" s="155">
        <v>41320</v>
      </c>
      <c r="D56" s="17">
        <v>43786</v>
      </c>
      <c r="E56" s="218" t="s">
        <v>1403</v>
      </c>
      <c r="F56" s="8" t="s">
        <v>218</v>
      </c>
      <c r="G56" s="233" t="s">
        <v>1145</v>
      </c>
      <c r="H56" s="11" t="s">
        <v>1231</v>
      </c>
      <c r="I56" s="11"/>
      <c r="J56" s="11"/>
      <c r="K56" s="11"/>
      <c r="L56" s="234">
        <v>404700</v>
      </c>
      <c r="M56" s="11"/>
      <c r="N56" s="11" t="s">
        <v>1129</v>
      </c>
      <c r="O56" s="219">
        <v>441795.83</v>
      </c>
      <c r="P56" s="11"/>
      <c r="Q56" s="11" t="s">
        <v>1139</v>
      </c>
      <c r="R56" s="234" t="s">
        <v>217</v>
      </c>
      <c r="S56" s="11"/>
      <c r="T56" s="11" t="s">
        <v>1139</v>
      </c>
      <c r="U56" s="8" t="s">
        <v>217</v>
      </c>
      <c r="V56" s="11"/>
      <c r="W56" s="11" t="s">
        <v>1139</v>
      </c>
      <c r="X56" s="8" t="s">
        <v>217</v>
      </c>
      <c r="Y56" s="11"/>
      <c r="Z56" s="11" t="s">
        <v>1139</v>
      </c>
      <c r="AA56" s="8" t="s">
        <v>217</v>
      </c>
      <c r="AB56" s="11"/>
      <c r="AC56" s="11" t="s">
        <v>1139</v>
      </c>
    </row>
    <row r="57" spans="1:29" ht="93.75" customHeight="1">
      <c r="A57" s="154" t="s">
        <v>1404</v>
      </c>
      <c r="B57" s="270" t="s">
        <v>1444</v>
      </c>
      <c r="C57" s="155">
        <v>41617</v>
      </c>
      <c r="D57" s="17">
        <v>43460</v>
      </c>
      <c r="E57" s="218" t="s">
        <v>1473</v>
      </c>
      <c r="F57" s="8" t="s">
        <v>284</v>
      </c>
      <c r="G57" s="233" t="s">
        <v>1215</v>
      </c>
      <c r="H57" s="11" t="s">
        <v>1225</v>
      </c>
      <c r="I57" s="11"/>
      <c r="J57" s="11"/>
      <c r="K57" s="11"/>
      <c r="L57" s="8"/>
      <c r="M57" s="234">
        <f>40000*12</f>
        <v>480000</v>
      </c>
      <c r="N57" s="11" t="s">
        <v>257</v>
      </c>
      <c r="O57" s="11"/>
      <c r="P57" s="8" t="s">
        <v>217</v>
      </c>
      <c r="Q57" s="11" t="s">
        <v>257</v>
      </c>
      <c r="R57" s="11"/>
      <c r="S57" s="8" t="s">
        <v>217</v>
      </c>
      <c r="T57" s="11" t="s">
        <v>257</v>
      </c>
      <c r="U57" s="11"/>
      <c r="V57" s="8" t="s">
        <v>217</v>
      </c>
      <c r="W57" s="11" t="s">
        <v>257</v>
      </c>
      <c r="X57" s="11"/>
      <c r="Y57" s="8" t="s">
        <v>217</v>
      </c>
      <c r="Z57" s="11" t="s">
        <v>257</v>
      </c>
      <c r="AA57" s="11"/>
      <c r="AB57" s="8" t="s">
        <v>217</v>
      </c>
      <c r="AC57" s="11" t="s">
        <v>257</v>
      </c>
    </row>
    <row r="58" spans="1:29" ht="95.25" customHeight="1">
      <c r="A58" s="154" t="s">
        <v>35</v>
      </c>
      <c r="B58" s="270" t="s">
        <v>1444</v>
      </c>
      <c r="C58" s="155">
        <v>41848</v>
      </c>
      <c r="D58" s="17">
        <v>46203</v>
      </c>
      <c r="E58" s="218" t="s">
        <v>1332</v>
      </c>
      <c r="F58" s="8" t="s">
        <v>220</v>
      </c>
      <c r="G58" s="233" t="s">
        <v>1480</v>
      </c>
      <c r="H58" s="11" t="s">
        <v>1242</v>
      </c>
      <c r="I58" s="11" t="s">
        <v>1369</v>
      </c>
      <c r="J58" s="11"/>
      <c r="K58" s="11"/>
      <c r="L58" s="234">
        <v>395914</v>
      </c>
      <c r="M58" s="11"/>
      <c r="N58" s="11"/>
      <c r="O58" s="234">
        <v>379015.5</v>
      </c>
      <c r="P58" s="254"/>
      <c r="Q58" s="254"/>
      <c r="R58" s="8" t="s">
        <v>1290</v>
      </c>
      <c r="S58" s="11"/>
      <c r="T58" s="11"/>
      <c r="U58" s="8" t="s">
        <v>241</v>
      </c>
      <c r="V58" s="11"/>
      <c r="W58" s="11"/>
      <c r="X58" s="8" t="s">
        <v>241</v>
      </c>
      <c r="Y58" s="11"/>
      <c r="Z58" s="11"/>
      <c r="AA58" s="8" t="s">
        <v>241</v>
      </c>
      <c r="AB58" s="11"/>
      <c r="AC58" s="11"/>
    </row>
    <row r="59" spans="1:29" ht="38.25" customHeight="1">
      <c r="A59" s="218" t="s">
        <v>7</v>
      </c>
      <c r="B59" s="270" t="s">
        <v>1444</v>
      </c>
      <c r="C59" s="17">
        <v>40995</v>
      </c>
      <c r="D59" s="17">
        <v>47774</v>
      </c>
      <c r="E59" s="218" t="s">
        <v>1233</v>
      </c>
      <c r="F59" s="8" t="s">
        <v>218</v>
      </c>
      <c r="G59" s="233" t="s">
        <v>1145</v>
      </c>
      <c r="H59" s="11" t="s">
        <v>1225</v>
      </c>
      <c r="I59" s="11" t="s">
        <v>1344</v>
      </c>
      <c r="J59" s="11"/>
      <c r="K59" s="11"/>
      <c r="L59" s="234">
        <f>117680.72*12</f>
        <v>1412168.6400000001</v>
      </c>
      <c r="M59" s="11"/>
      <c r="N59" s="11" t="s">
        <v>1138</v>
      </c>
      <c r="O59" s="8" t="s">
        <v>217</v>
      </c>
      <c r="P59" s="11"/>
      <c r="Q59" s="11" t="s">
        <v>1138</v>
      </c>
      <c r="R59" s="8" t="s">
        <v>217</v>
      </c>
      <c r="S59" s="11"/>
      <c r="T59" s="11" t="s">
        <v>1138</v>
      </c>
      <c r="U59" s="8" t="s">
        <v>217</v>
      </c>
      <c r="V59" s="11"/>
      <c r="W59" s="11" t="s">
        <v>1138</v>
      </c>
      <c r="X59" s="8" t="s">
        <v>217</v>
      </c>
      <c r="Y59" s="11"/>
      <c r="Z59" s="11" t="s">
        <v>1138</v>
      </c>
      <c r="AA59" s="8" t="s">
        <v>217</v>
      </c>
      <c r="AB59" s="11"/>
      <c r="AC59" s="11" t="s">
        <v>1138</v>
      </c>
    </row>
    <row r="60" spans="1:29" ht="49.5" customHeight="1">
      <c r="A60" s="46" t="s">
        <v>61</v>
      </c>
      <c r="B60" s="270" t="s">
        <v>1444</v>
      </c>
      <c r="C60" s="155">
        <v>42177</v>
      </c>
      <c r="D60" s="155">
        <v>44730</v>
      </c>
      <c r="E60" s="154" t="s">
        <v>1386</v>
      </c>
      <c r="F60" s="8" t="s">
        <v>220</v>
      </c>
      <c r="G60" s="233" t="s">
        <v>220</v>
      </c>
      <c r="H60" s="11" t="s">
        <v>1387</v>
      </c>
      <c r="I60" s="11" t="s">
        <v>1346</v>
      </c>
      <c r="J60" s="11"/>
      <c r="K60" s="11"/>
      <c r="L60" s="234">
        <v>545149.92000000004</v>
      </c>
      <c r="M60" s="11"/>
      <c r="N60" s="11" t="s">
        <v>1129</v>
      </c>
      <c r="O60" s="234">
        <v>139335</v>
      </c>
      <c r="P60" s="11"/>
      <c r="Q60" s="11"/>
      <c r="R60" s="234">
        <v>10000</v>
      </c>
      <c r="S60" s="11"/>
      <c r="T60" s="11"/>
      <c r="U60" s="8" t="s">
        <v>217</v>
      </c>
      <c r="V60" s="11"/>
      <c r="W60" s="11"/>
      <c r="X60" s="8" t="s">
        <v>217</v>
      </c>
      <c r="Y60" s="11"/>
      <c r="Z60" s="11"/>
      <c r="AA60" s="8" t="s">
        <v>217</v>
      </c>
      <c r="AB60" s="11"/>
      <c r="AC60" s="11"/>
    </row>
    <row r="61" spans="1:29" ht="117.75" customHeight="1">
      <c r="A61" s="154" t="s">
        <v>1417</v>
      </c>
      <c r="B61" s="270" t="s">
        <v>1444</v>
      </c>
      <c r="C61" s="155">
        <v>42055</v>
      </c>
      <c r="D61" s="17">
        <v>44180</v>
      </c>
      <c r="E61" s="239" t="s">
        <v>1392</v>
      </c>
      <c r="F61" s="8" t="s">
        <v>220</v>
      </c>
      <c r="G61" s="233" t="s">
        <v>220</v>
      </c>
      <c r="H61" s="11" t="s">
        <v>1224</v>
      </c>
      <c r="I61" s="11"/>
      <c r="J61" s="11"/>
      <c r="K61" s="11"/>
      <c r="L61" s="234">
        <v>1856966.5</v>
      </c>
      <c r="M61" s="11"/>
      <c r="N61" s="11"/>
      <c r="O61" s="234">
        <v>1800000</v>
      </c>
      <c r="P61" s="11"/>
      <c r="Q61" s="11"/>
      <c r="R61" s="8" t="s">
        <v>1388</v>
      </c>
      <c r="S61" s="11"/>
      <c r="T61" s="11"/>
      <c r="U61" s="8" t="s">
        <v>1389</v>
      </c>
      <c r="V61" s="11"/>
      <c r="W61" s="11"/>
      <c r="X61" s="8" t="s">
        <v>1390</v>
      </c>
      <c r="Y61" s="11"/>
      <c r="Z61" s="11"/>
      <c r="AA61" s="8" t="s">
        <v>1391</v>
      </c>
      <c r="AB61" s="11"/>
      <c r="AC61" s="11"/>
    </row>
    <row r="62" spans="1:29" ht="123" customHeight="1">
      <c r="A62" s="46" t="s">
        <v>5</v>
      </c>
      <c r="B62" s="270" t="s">
        <v>1444</v>
      </c>
      <c r="C62" s="155">
        <v>42137</v>
      </c>
      <c r="D62" s="17">
        <v>46804</v>
      </c>
      <c r="E62" s="218" t="s">
        <v>1394</v>
      </c>
      <c r="F62" s="8" t="s">
        <v>218</v>
      </c>
      <c r="G62" s="233" t="s">
        <v>1145</v>
      </c>
      <c r="H62" s="11" t="s">
        <v>1333</v>
      </c>
      <c r="I62" s="11" t="s">
        <v>1346</v>
      </c>
      <c r="J62" s="11"/>
      <c r="K62" s="11"/>
      <c r="L62" s="234">
        <f>167335.71*12</f>
        <v>2008028.52</v>
      </c>
      <c r="M62" s="11"/>
      <c r="N62" s="11" t="s">
        <v>1147</v>
      </c>
      <c r="O62" s="8" t="s">
        <v>217</v>
      </c>
      <c r="P62" s="11"/>
      <c r="Q62" s="11" t="s">
        <v>1147</v>
      </c>
      <c r="R62" s="8" t="s">
        <v>217</v>
      </c>
      <c r="S62" s="11"/>
      <c r="T62" s="11" t="s">
        <v>1147</v>
      </c>
      <c r="U62" s="8" t="s">
        <v>217</v>
      </c>
      <c r="V62" s="11"/>
      <c r="W62" s="11" t="s">
        <v>1147</v>
      </c>
      <c r="X62" s="8" t="s">
        <v>217</v>
      </c>
      <c r="Y62" s="11"/>
      <c r="Z62" s="11" t="s">
        <v>1147</v>
      </c>
      <c r="AA62" s="8" t="s">
        <v>217</v>
      </c>
      <c r="AB62" s="11"/>
      <c r="AC62" s="11" t="s">
        <v>1147</v>
      </c>
    </row>
    <row r="63" spans="1:29" ht="63.75" customHeight="1">
      <c r="A63" s="154" t="s">
        <v>3</v>
      </c>
      <c r="B63" s="270" t="s">
        <v>1444</v>
      </c>
      <c r="C63" s="17">
        <v>37293</v>
      </c>
      <c r="D63" s="17">
        <v>44597</v>
      </c>
      <c r="E63" s="218" t="s">
        <v>1243</v>
      </c>
      <c r="F63" s="8" t="s">
        <v>220</v>
      </c>
      <c r="G63" s="233" t="s">
        <v>220</v>
      </c>
      <c r="H63" s="11" t="s">
        <v>1225</v>
      </c>
      <c r="I63" s="11" t="s">
        <v>1344</v>
      </c>
      <c r="J63" s="11"/>
      <c r="K63" s="11"/>
      <c r="L63" s="234" t="s">
        <v>1312</v>
      </c>
      <c r="M63" s="11"/>
      <c r="N63" s="11"/>
      <c r="O63" s="8" t="s">
        <v>217</v>
      </c>
      <c r="P63" s="11"/>
      <c r="Q63" s="11"/>
      <c r="R63" s="8" t="s">
        <v>217</v>
      </c>
      <c r="S63" s="11"/>
      <c r="T63" s="11"/>
      <c r="U63" s="8" t="s">
        <v>217</v>
      </c>
      <c r="V63" s="11"/>
      <c r="W63" s="11"/>
      <c r="X63" s="8" t="s">
        <v>217</v>
      </c>
      <c r="Y63" s="11"/>
      <c r="Z63" s="11"/>
      <c r="AA63" s="8" t="s">
        <v>217</v>
      </c>
      <c r="AB63" s="11"/>
      <c r="AC63" s="11"/>
    </row>
    <row r="64" spans="1:29" ht="39" customHeight="1">
      <c r="A64" s="154" t="s">
        <v>71</v>
      </c>
      <c r="B64" s="270" t="s">
        <v>1444</v>
      </c>
      <c r="C64" s="155">
        <v>41760</v>
      </c>
      <c r="D64" s="17">
        <v>42795</v>
      </c>
      <c r="E64" s="238" t="s">
        <v>1277</v>
      </c>
      <c r="F64" s="8" t="s">
        <v>220</v>
      </c>
      <c r="G64" s="233" t="s">
        <v>220</v>
      </c>
      <c r="H64" s="8" t="s">
        <v>221</v>
      </c>
      <c r="I64" s="8" t="s">
        <v>1370</v>
      </c>
      <c r="J64" s="8"/>
      <c r="K64" s="8"/>
      <c r="L64" s="234">
        <v>245107.34</v>
      </c>
      <c r="M64" s="11"/>
      <c r="N64" s="13"/>
      <c r="O64" s="234">
        <v>236353.8</v>
      </c>
      <c r="P64" s="11"/>
      <c r="Q64" s="13"/>
      <c r="R64" s="234">
        <v>236353.8</v>
      </c>
      <c r="S64" s="11"/>
      <c r="T64" s="13"/>
      <c r="U64" s="28">
        <v>236353.8</v>
      </c>
      <c r="V64" s="11"/>
      <c r="W64" s="13"/>
      <c r="X64" s="8" t="s">
        <v>221</v>
      </c>
      <c r="Y64" s="11"/>
      <c r="Z64" s="13"/>
      <c r="AA64" s="8" t="s">
        <v>221</v>
      </c>
      <c r="AB64" s="11"/>
      <c r="AC64" s="13"/>
    </row>
    <row r="65" spans="1:29" ht="75.75" customHeight="1">
      <c r="A65" s="154" t="s">
        <v>66</v>
      </c>
      <c r="B65" s="270" t="s">
        <v>1444</v>
      </c>
      <c r="C65" s="155">
        <v>41782</v>
      </c>
      <c r="D65" s="17">
        <v>46022</v>
      </c>
      <c r="E65" s="154" t="s">
        <v>1468</v>
      </c>
      <c r="F65" s="8" t="s">
        <v>218</v>
      </c>
      <c r="G65" s="250" t="s">
        <v>1144</v>
      </c>
      <c r="H65" s="11" t="s">
        <v>1252</v>
      </c>
      <c r="I65" s="11" t="s">
        <v>1346</v>
      </c>
      <c r="J65" s="11"/>
      <c r="K65" s="11"/>
      <c r="L65" s="234">
        <v>373582.47</v>
      </c>
      <c r="M65" s="11"/>
      <c r="N65" s="11" t="s">
        <v>244</v>
      </c>
      <c r="O65" s="234">
        <v>320000.03999999998</v>
      </c>
      <c r="P65" s="11"/>
      <c r="Q65" s="11" t="s">
        <v>244</v>
      </c>
      <c r="R65" s="8" t="s">
        <v>1291</v>
      </c>
      <c r="S65" s="11"/>
      <c r="T65" s="11" t="s">
        <v>244</v>
      </c>
      <c r="U65" s="8" t="s">
        <v>217</v>
      </c>
      <c r="V65" s="11"/>
      <c r="W65" s="11" t="s">
        <v>244</v>
      </c>
      <c r="X65" s="8" t="s">
        <v>217</v>
      </c>
      <c r="Y65" s="11"/>
      <c r="Z65" s="11" t="s">
        <v>244</v>
      </c>
      <c r="AA65" s="8" t="s">
        <v>217</v>
      </c>
      <c r="AB65" s="11"/>
      <c r="AC65" s="11" t="s">
        <v>244</v>
      </c>
    </row>
    <row r="66" spans="1:29" ht="37.5" customHeight="1">
      <c r="A66" s="154" t="s">
        <v>30</v>
      </c>
      <c r="B66" s="270" t="s">
        <v>1444</v>
      </c>
      <c r="C66" s="155">
        <v>42150</v>
      </c>
      <c r="D66" s="155">
        <v>48154</v>
      </c>
      <c r="E66" s="218" t="s">
        <v>1393</v>
      </c>
      <c r="F66" s="8" t="s">
        <v>220</v>
      </c>
      <c r="G66" s="233" t="s">
        <v>220</v>
      </c>
      <c r="H66" s="11" t="s">
        <v>1225</v>
      </c>
      <c r="I66" s="11" t="s">
        <v>1346</v>
      </c>
      <c r="J66" s="11"/>
      <c r="K66" s="11"/>
      <c r="L66" s="234" t="s">
        <v>1464</v>
      </c>
      <c r="M66" s="11"/>
      <c r="N66" s="11"/>
      <c r="O66" s="8" t="s">
        <v>217</v>
      </c>
      <c r="P66" s="11"/>
      <c r="Q66" s="11"/>
      <c r="R66" s="8" t="s">
        <v>217</v>
      </c>
      <c r="S66" s="11"/>
      <c r="T66" s="11"/>
      <c r="U66" s="8" t="s">
        <v>217</v>
      </c>
      <c r="V66" s="11"/>
      <c r="W66" s="11"/>
      <c r="X66" s="8" t="s">
        <v>217</v>
      </c>
      <c r="Y66" s="11"/>
      <c r="Z66" s="11"/>
      <c r="AA66" s="8" t="s">
        <v>217</v>
      </c>
      <c r="AB66" s="11"/>
      <c r="AC66" s="11"/>
    </row>
    <row r="67" spans="1:29" ht="153" customHeight="1">
      <c r="A67" s="154" t="s">
        <v>57</v>
      </c>
      <c r="B67" s="270" t="s">
        <v>1444</v>
      </c>
      <c r="C67" s="253">
        <v>41631</v>
      </c>
      <c r="D67" s="17">
        <v>44196</v>
      </c>
      <c r="E67" s="239" t="s">
        <v>1310</v>
      </c>
      <c r="F67" s="8" t="s">
        <v>218</v>
      </c>
      <c r="G67" s="233" t="s">
        <v>1144</v>
      </c>
      <c r="H67" s="240" t="s">
        <v>1253</v>
      </c>
      <c r="I67" s="240" t="s">
        <v>1371</v>
      </c>
      <c r="J67" s="240"/>
      <c r="K67" s="240"/>
      <c r="L67" s="234">
        <v>465000</v>
      </c>
      <c r="M67" s="11"/>
      <c r="N67" s="11" t="s">
        <v>258</v>
      </c>
      <c r="O67" s="234">
        <v>475000</v>
      </c>
      <c r="P67" s="11"/>
      <c r="Q67" s="11" t="s">
        <v>258</v>
      </c>
      <c r="R67" s="234">
        <v>500000</v>
      </c>
      <c r="S67" s="11"/>
      <c r="T67" s="11" t="s">
        <v>258</v>
      </c>
      <c r="U67" s="8" t="s">
        <v>217</v>
      </c>
      <c r="V67" s="11"/>
      <c r="W67" s="11" t="s">
        <v>258</v>
      </c>
      <c r="X67" s="8" t="s">
        <v>217</v>
      </c>
      <c r="Y67" s="11"/>
      <c r="Z67" s="11" t="s">
        <v>258</v>
      </c>
      <c r="AA67" s="8" t="s">
        <v>217</v>
      </c>
      <c r="AB67" s="11"/>
      <c r="AC67" s="11" t="s">
        <v>258</v>
      </c>
    </row>
    <row r="68" spans="1:29" ht="25.5" customHeight="1">
      <c r="A68" s="154" t="s">
        <v>64</v>
      </c>
      <c r="B68" s="270" t="s">
        <v>1444</v>
      </c>
      <c r="C68" s="17">
        <v>40878</v>
      </c>
      <c r="D68" s="17">
        <v>42247</v>
      </c>
      <c r="E68" s="218" t="s">
        <v>1447</v>
      </c>
      <c r="F68" s="8" t="s">
        <v>220</v>
      </c>
      <c r="G68" s="233" t="s">
        <v>220</v>
      </c>
      <c r="H68" s="11" t="s">
        <v>1254</v>
      </c>
      <c r="I68" s="89" t="s">
        <v>1368</v>
      </c>
      <c r="J68" s="11"/>
      <c r="K68" s="11"/>
      <c r="L68" s="234">
        <f>29420.25*12</f>
        <v>353043</v>
      </c>
      <c r="M68" s="11"/>
      <c r="N68" s="11"/>
      <c r="O68" s="8" t="s">
        <v>217</v>
      </c>
      <c r="P68" s="11"/>
      <c r="Q68" s="11"/>
      <c r="R68" s="8"/>
      <c r="S68" s="11"/>
      <c r="T68" s="11"/>
      <c r="U68" s="8"/>
      <c r="V68" s="11"/>
      <c r="W68" s="11"/>
      <c r="X68" s="8"/>
      <c r="Y68" s="11"/>
      <c r="Z68" s="11"/>
      <c r="AA68" s="8"/>
      <c r="AB68" s="11"/>
      <c r="AC68" s="11"/>
    </row>
    <row r="69" spans="1:29" ht="132" customHeight="1">
      <c r="A69" s="154" t="s">
        <v>25</v>
      </c>
      <c r="B69" s="270" t="s">
        <v>1444</v>
      </c>
      <c r="C69" s="155">
        <v>41759</v>
      </c>
      <c r="D69" s="17">
        <v>43830</v>
      </c>
      <c r="E69" s="218" t="s">
        <v>1422</v>
      </c>
      <c r="F69" s="8" t="s">
        <v>218</v>
      </c>
      <c r="G69" s="233" t="s">
        <v>1144</v>
      </c>
      <c r="H69" s="8" t="s">
        <v>221</v>
      </c>
      <c r="I69" s="8" t="s">
        <v>221</v>
      </c>
      <c r="J69" s="8"/>
      <c r="K69" s="8"/>
      <c r="L69" s="234">
        <v>2339198.0791500001</v>
      </c>
      <c r="M69" s="11"/>
      <c r="N69" s="11" t="s">
        <v>245</v>
      </c>
      <c r="O69" s="234">
        <v>1947999.96</v>
      </c>
      <c r="P69" s="11"/>
      <c r="Q69" s="11" t="s">
        <v>245</v>
      </c>
      <c r="R69" s="234">
        <v>1977000</v>
      </c>
      <c r="S69" s="11"/>
      <c r="T69" s="11" t="s">
        <v>246</v>
      </c>
      <c r="U69" s="234">
        <v>2019000</v>
      </c>
      <c r="V69" s="11"/>
      <c r="W69" s="11" t="s">
        <v>246</v>
      </c>
      <c r="X69" s="20">
        <v>2061000</v>
      </c>
      <c r="Y69" s="11"/>
      <c r="Z69" s="11" t="s">
        <v>246</v>
      </c>
      <c r="AA69" s="20">
        <v>2092000</v>
      </c>
      <c r="AB69" s="11"/>
      <c r="AC69" s="11" t="s">
        <v>246</v>
      </c>
    </row>
    <row r="70" spans="1:29" ht="25.5" customHeight="1">
      <c r="A70" s="154" t="s">
        <v>70</v>
      </c>
      <c r="B70" s="270" t="s">
        <v>1444</v>
      </c>
      <c r="C70" s="17">
        <v>38295</v>
      </c>
      <c r="D70" s="17">
        <v>44372</v>
      </c>
      <c r="E70" s="218" t="s">
        <v>1234</v>
      </c>
      <c r="F70" s="8" t="s">
        <v>218</v>
      </c>
      <c r="G70" s="233" t="s">
        <v>1145</v>
      </c>
      <c r="H70" s="11" t="s">
        <v>1329</v>
      </c>
      <c r="I70" s="89" t="s">
        <v>1346</v>
      </c>
      <c r="J70" s="11"/>
      <c r="K70" s="11"/>
      <c r="L70" s="234">
        <f>22610.7*12+10764.8*2</f>
        <v>292858</v>
      </c>
      <c r="M70" s="11"/>
      <c r="N70" s="11" t="s">
        <v>1129</v>
      </c>
      <c r="O70" s="8" t="s">
        <v>217</v>
      </c>
      <c r="P70" s="11"/>
      <c r="Q70" s="11" t="s">
        <v>1129</v>
      </c>
      <c r="R70" s="8" t="s">
        <v>217</v>
      </c>
      <c r="S70" s="11"/>
      <c r="T70" s="11" t="s">
        <v>1129</v>
      </c>
      <c r="U70" s="8" t="s">
        <v>217</v>
      </c>
      <c r="V70" s="11"/>
      <c r="W70" s="11" t="s">
        <v>1129</v>
      </c>
      <c r="X70" s="8" t="s">
        <v>217</v>
      </c>
      <c r="Y70" s="11"/>
      <c r="Z70" s="11" t="s">
        <v>1129</v>
      </c>
      <c r="AA70" s="8" t="s">
        <v>217</v>
      </c>
      <c r="AB70" s="11"/>
      <c r="AC70" s="11" t="s">
        <v>1129</v>
      </c>
    </row>
    <row r="71" spans="1:29" ht="71.25" customHeight="1">
      <c r="A71" s="154" t="s">
        <v>1408</v>
      </c>
      <c r="B71" s="270" t="s">
        <v>1444</v>
      </c>
      <c r="C71" s="17">
        <v>41968</v>
      </c>
      <c r="D71" s="17">
        <v>46203</v>
      </c>
      <c r="E71" s="239" t="s">
        <v>1409</v>
      </c>
      <c r="F71" s="8" t="s">
        <v>220</v>
      </c>
      <c r="G71" s="233" t="s">
        <v>220</v>
      </c>
      <c r="H71" s="11" t="s">
        <v>1255</v>
      </c>
      <c r="I71" s="11"/>
      <c r="J71" s="11"/>
      <c r="K71" s="11"/>
      <c r="L71" s="234">
        <v>1041354.4199999998</v>
      </c>
      <c r="M71" s="11"/>
      <c r="N71" s="11"/>
      <c r="O71" s="232">
        <f>228327.76 + 730066.72</f>
        <v>958394.48</v>
      </c>
      <c r="P71" s="11"/>
      <c r="Q71" s="11"/>
      <c r="R71" s="232">
        <f>241012.64+770625.98</f>
        <v>1011638.62</v>
      </c>
      <c r="S71" s="20"/>
      <c r="T71" s="11"/>
      <c r="U71" s="232">
        <f>253697.52+811185.24</f>
        <v>1064882.76</v>
      </c>
      <c r="V71" s="11"/>
      <c r="W71" s="11"/>
      <c r="X71" s="8" t="s">
        <v>1465</v>
      </c>
      <c r="Y71" s="11"/>
      <c r="Z71" s="11"/>
      <c r="AA71" s="8" t="s">
        <v>217</v>
      </c>
      <c r="AB71" s="11"/>
      <c r="AC71" s="11"/>
    </row>
    <row r="72" spans="1:29" ht="167.25" customHeight="1">
      <c r="A72" s="154" t="s">
        <v>18</v>
      </c>
      <c r="B72" s="270" t="s">
        <v>1444</v>
      </c>
      <c r="C72" s="155">
        <v>42279</v>
      </c>
      <c r="D72" s="17">
        <v>47775</v>
      </c>
      <c r="E72" s="218" t="s">
        <v>1474</v>
      </c>
      <c r="F72" s="8" t="s">
        <v>218</v>
      </c>
      <c r="G72" s="233" t="s">
        <v>1145</v>
      </c>
      <c r="H72" s="11" t="s">
        <v>1327</v>
      </c>
      <c r="I72" s="11" t="s">
        <v>221</v>
      </c>
      <c r="J72" s="11" t="s">
        <v>1434</v>
      </c>
      <c r="K72" s="8" t="s">
        <v>221</v>
      </c>
      <c r="L72" s="234" t="s">
        <v>1435</v>
      </c>
      <c r="M72" s="11"/>
      <c r="N72" s="11" t="s">
        <v>1132</v>
      </c>
      <c r="O72" s="269">
        <v>1727521.35</v>
      </c>
      <c r="P72" s="11"/>
      <c r="Q72" s="11" t="s">
        <v>1476</v>
      </c>
      <c r="R72" s="269">
        <v>1909630</v>
      </c>
      <c r="S72" s="168"/>
      <c r="T72" s="11" t="s">
        <v>1476</v>
      </c>
      <c r="U72" s="269">
        <f>+R72*(1+1%)</f>
        <v>1928726.3</v>
      </c>
      <c r="V72" s="11"/>
      <c r="W72" s="11" t="s">
        <v>1476</v>
      </c>
      <c r="X72" s="269" t="s">
        <v>1475</v>
      </c>
      <c r="Y72" s="11"/>
      <c r="Z72" s="11" t="s">
        <v>1476</v>
      </c>
      <c r="AA72" s="269" t="s">
        <v>1477</v>
      </c>
      <c r="AB72" s="11"/>
      <c r="AC72" s="11" t="s">
        <v>1476</v>
      </c>
    </row>
    <row r="73" spans="1:29" s="90" customFormat="1" ht="87" customHeight="1">
      <c r="A73" s="154" t="s">
        <v>38</v>
      </c>
      <c r="B73" s="270" t="s">
        <v>1444</v>
      </c>
      <c r="C73" s="17">
        <v>41320</v>
      </c>
      <c r="D73" s="17">
        <v>43556</v>
      </c>
      <c r="E73" s="218" t="s">
        <v>1428</v>
      </c>
      <c r="F73" s="149" t="s">
        <v>218</v>
      </c>
      <c r="G73" s="233" t="s">
        <v>1145</v>
      </c>
      <c r="H73" s="89" t="s">
        <v>1231</v>
      </c>
      <c r="I73" s="89" t="s">
        <v>1355</v>
      </c>
      <c r="J73" s="89"/>
      <c r="K73" s="89"/>
      <c r="L73" s="242">
        <v>595300</v>
      </c>
      <c r="M73" s="89"/>
      <c r="N73" s="11" t="s">
        <v>1129</v>
      </c>
      <c r="O73" s="234">
        <v>661841.59</v>
      </c>
      <c r="P73" s="89"/>
      <c r="Q73" s="89" t="s">
        <v>1139</v>
      </c>
      <c r="R73" s="8" t="s">
        <v>217</v>
      </c>
      <c r="S73" s="89"/>
      <c r="T73" s="89" t="s">
        <v>1139</v>
      </c>
      <c r="U73" s="149" t="s">
        <v>217</v>
      </c>
      <c r="V73" s="89"/>
      <c r="W73" s="89" t="s">
        <v>1139</v>
      </c>
      <c r="X73" s="149" t="s">
        <v>217</v>
      </c>
      <c r="Y73" s="89"/>
      <c r="Z73" s="89" t="s">
        <v>1139</v>
      </c>
      <c r="AA73" s="149" t="s">
        <v>217</v>
      </c>
      <c r="AB73" s="89"/>
      <c r="AC73" s="89" t="s">
        <v>1139</v>
      </c>
    </row>
    <row r="74" spans="1:29" ht="96" customHeight="1">
      <c r="A74" s="154" t="s">
        <v>41</v>
      </c>
      <c r="B74" s="270" t="s">
        <v>1444</v>
      </c>
      <c r="C74" s="17">
        <v>41612</v>
      </c>
      <c r="D74" s="17">
        <v>43952</v>
      </c>
      <c r="E74" s="218" t="s">
        <v>1406</v>
      </c>
      <c r="F74" s="8" t="s">
        <v>218</v>
      </c>
      <c r="G74" s="233" t="s">
        <v>1145</v>
      </c>
      <c r="H74" s="11" t="s">
        <v>1225</v>
      </c>
      <c r="I74" s="11" t="s">
        <v>1372</v>
      </c>
      <c r="J74" s="11"/>
      <c r="K74" s="11"/>
      <c r="L74" s="234">
        <v>556466.77</v>
      </c>
      <c r="M74" s="11"/>
      <c r="N74" s="11" t="s">
        <v>221</v>
      </c>
      <c r="O74" s="234">
        <v>553029.96</v>
      </c>
      <c r="P74" s="11"/>
      <c r="Q74" s="11" t="s">
        <v>221</v>
      </c>
      <c r="R74" s="234">
        <v>691288</v>
      </c>
      <c r="S74" s="28"/>
      <c r="T74" s="11" t="s">
        <v>1129</v>
      </c>
      <c r="U74" s="8" t="s">
        <v>217</v>
      </c>
      <c r="V74" s="11"/>
      <c r="W74" s="11" t="s">
        <v>1129</v>
      </c>
      <c r="X74" s="8" t="s">
        <v>217</v>
      </c>
      <c r="Y74" s="11"/>
      <c r="Z74" s="11" t="s">
        <v>1129</v>
      </c>
      <c r="AA74" s="8" t="s">
        <v>217</v>
      </c>
      <c r="AB74" s="11"/>
      <c r="AC74" s="11" t="s">
        <v>1129</v>
      </c>
    </row>
    <row r="75" spans="1:29" ht="46.5" customHeight="1">
      <c r="A75" s="154" t="s">
        <v>1407</v>
      </c>
      <c r="B75" s="270" t="s">
        <v>1444</v>
      </c>
      <c r="C75" s="17">
        <v>41837</v>
      </c>
      <c r="D75" s="17">
        <v>46376</v>
      </c>
      <c r="E75" s="239" t="s">
        <v>1256</v>
      </c>
      <c r="F75" s="8" t="s">
        <v>220</v>
      </c>
      <c r="G75" s="233" t="s">
        <v>220</v>
      </c>
      <c r="H75" s="11" t="s">
        <v>1231</v>
      </c>
      <c r="I75" s="11"/>
      <c r="J75" s="11"/>
      <c r="K75" s="11"/>
      <c r="L75" s="234">
        <v>361841.96</v>
      </c>
      <c r="M75" s="11"/>
      <c r="N75" s="11"/>
      <c r="O75" s="8" t="s">
        <v>217</v>
      </c>
      <c r="P75" s="11"/>
      <c r="Q75" s="11"/>
      <c r="R75" s="8" t="s">
        <v>217</v>
      </c>
      <c r="S75" s="168"/>
      <c r="T75" s="168"/>
      <c r="U75" s="8" t="s">
        <v>217</v>
      </c>
      <c r="V75" s="11"/>
      <c r="W75" s="11"/>
      <c r="X75" s="8" t="s">
        <v>217</v>
      </c>
      <c r="Y75" s="11"/>
      <c r="Z75" s="11"/>
      <c r="AA75" s="8" t="s">
        <v>217</v>
      </c>
      <c r="AB75" s="11"/>
      <c r="AC75" s="11"/>
    </row>
    <row r="76" spans="1:29" ht="198.75" customHeight="1">
      <c r="A76" s="154" t="s">
        <v>32</v>
      </c>
      <c r="B76" s="270" t="s">
        <v>1444</v>
      </c>
      <c r="C76" s="17">
        <v>41991</v>
      </c>
      <c r="D76" s="17" t="s">
        <v>1301</v>
      </c>
      <c r="E76" s="218" t="s">
        <v>1325</v>
      </c>
      <c r="F76" s="8" t="s">
        <v>218</v>
      </c>
      <c r="G76" s="233" t="s">
        <v>1302</v>
      </c>
      <c r="H76" s="240" t="s">
        <v>1326</v>
      </c>
      <c r="I76" s="11" t="s">
        <v>1373</v>
      </c>
      <c r="J76" s="240"/>
      <c r="K76" s="240"/>
      <c r="L76" s="234">
        <v>1982807.4600000002</v>
      </c>
      <c r="M76" s="11"/>
      <c r="N76" s="11" t="s">
        <v>221</v>
      </c>
      <c r="O76" s="257">
        <f>+(163484*7+(163434*(1+1%))*5)-44752*6</f>
        <v>1701217.7</v>
      </c>
      <c r="Q76" s="11" t="s">
        <v>221</v>
      </c>
      <c r="R76" s="8" t="s">
        <v>1303</v>
      </c>
      <c r="S76" s="11"/>
      <c r="T76" s="11" t="s">
        <v>221</v>
      </c>
      <c r="U76" s="8" t="s">
        <v>1303</v>
      </c>
      <c r="V76" s="11"/>
      <c r="W76" s="11" t="s">
        <v>221</v>
      </c>
      <c r="X76" s="8" t="s">
        <v>1303</v>
      </c>
      <c r="Y76" s="11"/>
      <c r="Z76" s="11" t="s">
        <v>221</v>
      </c>
      <c r="AA76" s="8" t="s">
        <v>1303</v>
      </c>
      <c r="AB76" s="11"/>
      <c r="AC76" s="11" t="s">
        <v>221</v>
      </c>
    </row>
    <row r="77" spans="1:29" ht="63.75" customHeight="1">
      <c r="A77" s="154" t="s">
        <v>20</v>
      </c>
      <c r="B77" s="270" t="s">
        <v>1444</v>
      </c>
      <c r="C77" s="17">
        <v>41837</v>
      </c>
      <c r="D77" s="17">
        <v>47601</v>
      </c>
      <c r="E77" s="239" t="s">
        <v>1257</v>
      </c>
      <c r="F77" s="8" t="s">
        <v>220</v>
      </c>
      <c r="G77" s="233" t="s">
        <v>220</v>
      </c>
      <c r="H77" s="11" t="s">
        <v>1231</v>
      </c>
      <c r="I77" s="11" t="s">
        <v>1344</v>
      </c>
      <c r="J77" s="11"/>
      <c r="K77" s="11"/>
      <c r="L77" s="234">
        <v>179200</v>
      </c>
      <c r="M77" s="11"/>
      <c r="N77" s="11"/>
      <c r="O77" s="232">
        <v>180790</v>
      </c>
      <c r="P77" s="11"/>
      <c r="Q77" s="11"/>
      <c r="R77" s="8" t="s">
        <v>1292</v>
      </c>
      <c r="S77" s="29"/>
      <c r="T77" s="168"/>
      <c r="U77" s="8" t="s">
        <v>217</v>
      </c>
      <c r="V77" s="11"/>
      <c r="W77" s="11"/>
      <c r="X77" s="8" t="s">
        <v>217</v>
      </c>
      <c r="Y77" s="11"/>
      <c r="Z77" s="11"/>
      <c r="AA77" s="8" t="s">
        <v>217</v>
      </c>
      <c r="AB77" s="11"/>
      <c r="AC77" s="11"/>
    </row>
    <row r="78" spans="1:29" s="90" customFormat="1" ht="79.5" customHeight="1">
      <c r="A78" s="154" t="s">
        <v>8</v>
      </c>
      <c r="B78" s="270" t="s">
        <v>1444</v>
      </c>
      <c r="C78" s="17">
        <v>41877</v>
      </c>
      <c r="D78" s="17">
        <v>42004</v>
      </c>
      <c r="E78" s="218" t="s">
        <v>1448</v>
      </c>
      <c r="F78" s="8" t="s">
        <v>218</v>
      </c>
      <c r="G78" s="233" t="s">
        <v>1145</v>
      </c>
      <c r="H78" s="11" t="s">
        <v>1225</v>
      </c>
      <c r="I78" s="11" t="s">
        <v>221</v>
      </c>
      <c r="J78" s="11"/>
      <c r="K78" s="11"/>
      <c r="L78" s="234">
        <v>786501</v>
      </c>
      <c r="M78" s="89"/>
      <c r="N78" s="11" t="s">
        <v>1148</v>
      </c>
      <c r="O78" s="11"/>
      <c r="P78" s="89"/>
      <c r="Q78" s="11"/>
      <c r="R78" s="11"/>
      <c r="S78" s="255"/>
      <c r="T78" s="11"/>
      <c r="U78" s="11"/>
      <c r="V78" s="89"/>
      <c r="W78" s="11"/>
      <c r="X78" s="11"/>
      <c r="Y78" s="89"/>
      <c r="Z78" s="11"/>
      <c r="AA78" s="11"/>
      <c r="AB78" s="89"/>
      <c r="AC78" s="11"/>
    </row>
    <row r="79" spans="1:29" ht="135" customHeight="1">
      <c r="A79" s="154" t="s">
        <v>1337</v>
      </c>
      <c r="B79" s="270" t="s">
        <v>1444</v>
      </c>
      <c r="C79" s="17">
        <v>41459</v>
      </c>
      <c r="D79" s="17">
        <v>47665</v>
      </c>
      <c r="E79" s="218" t="s">
        <v>1450</v>
      </c>
      <c r="F79" s="8" t="s">
        <v>218</v>
      </c>
      <c r="G79" s="233" t="s">
        <v>1144</v>
      </c>
      <c r="H79" s="11" t="s">
        <v>1260</v>
      </c>
      <c r="I79" s="11"/>
      <c r="J79" s="11"/>
      <c r="K79" s="11"/>
      <c r="L79" s="234">
        <v>322440.21000000002</v>
      </c>
      <c r="M79" s="11"/>
      <c r="N79" s="11" t="s">
        <v>1104</v>
      </c>
      <c r="O79" s="234">
        <v>220860</v>
      </c>
      <c r="P79" s="11"/>
      <c r="Q79" s="11" t="s">
        <v>1104</v>
      </c>
      <c r="R79" s="8" t="s">
        <v>1295</v>
      </c>
      <c r="S79" s="11"/>
      <c r="T79" s="11" t="s">
        <v>1104</v>
      </c>
      <c r="U79" s="8" t="s">
        <v>217</v>
      </c>
      <c r="V79" s="11"/>
      <c r="W79" s="11" t="s">
        <v>1104</v>
      </c>
      <c r="X79" s="11" t="s">
        <v>217</v>
      </c>
      <c r="Y79" s="11"/>
      <c r="Z79" s="11" t="s">
        <v>1104</v>
      </c>
      <c r="AA79" s="11" t="s">
        <v>217</v>
      </c>
      <c r="AB79" s="11"/>
      <c r="AC79" s="11" t="s">
        <v>1104</v>
      </c>
    </row>
    <row r="80" spans="1:29" ht="143.25" customHeight="1">
      <c r="A80" s="154" t="s">
        <v>68</v>
      </c>
      <c r="B80" s="270" t="s">
        <v>1444</v>
      </c>
      <c r="C80" s="17">
        <v>41974</v>
      </c>
      <c r="D80" s="17">
        <v>45281</v>
      </c>
      <c r="E80" s="218" t="s">
        <v>1297</v>
      </c>
      <c r="F80" s="8" t="s">
        <v>218</v>
      </c>
      <c r="G80" s="233" t="s">
        <v>1144</v>
      </c>
      <c r="H80" s="11" t="s">
        <v>1375</v>
      </c>
      <c r="I80" s="11" t="s">
        <v>1374</v>
      </c>
      <c r="J80" s="11"/>
      <c r="K80" s="11"/>
      <c r="L80" s="234">
        <v>234280.4</v>
      </c>
      <c r="M80" s="11"/>
      <c r="N80" s="11" t="s">
        <v>1298</v>
      </c>
      <c r="O80" s="232">
        <v>100000</v>
      </c>
      <c r="P80" s="11"/>
      <c r="Q80" s="11" t="s">
        <v>221</v>
      </c>
      <c r="R80" s="232">
        <v>100000</v>
      </c>
      <c r="S80" s="11"/>
      <c r="T80" s="11" t="s">
        <v>221</v>
      </c>
      <c r="U80" s="232">
        <v>200000</v>
      </c>
      <c r="V80" s="11"/>
      <c r="W80" s="11" t="s">
        <v>221</v>
      </c>
      <c r="X80" s="232">
        <v>300000</v>
      </c>
      <c r="Y80" s="11"/>
      <c r="Z80" s="11" t="s">
        <v>221</v>
      </c>
      <c r="AA80" s="232">
        <v>300000</v>
      </c>
      <c r="AB80" s="11" t="s">
        <v>1299</v>
      </c>
      <c r="AC80" s="11" t="s">
        <v>1300</v>
      </c>
    </row>
    <row r="81" spans="1:29" ht="51" customHeight="1">
      <c r="A81" s="154" t="s">
        <v>211</v>
      </c>
      <c r="B81" s="270" t="s">
        <v>1444</v>
      </c>
      <c r="C81" s="17">
        <v>41813</v>
      </c>
      <c r="D81" s="17">
        <v>43555</v>
      </c>
      <c r="E81" s="239" t="s">
        <v>1467</v>
      </c>
      <c r="F81" s="8" t="s">
        <v>284</v>
      </c>
      <c r="G81" s="233" t="s">
        <v>1215</v>
      </c>
      <c r="H81" s="11" t="s">
        <v>1377</v>
      </c>
      <c r="I81" s="11" t="s">
        <v>1376</v>
      </c>
      <c r="J81" s="11"/>
      <c r="K81" s="11"/>
      <c r="L81" s="8"/>
      <c r="M81" s="241">
        <v>731788</v>
      </c>
      <c r="N81" s="11" t="s">
        <v>265</v>
      </c>
      <c r="O81" s="11"/>
      <c r="P81" s="8" t="s">
        <v>217</v>
      </c>
      <c r="Q81" s="11" t="s">
        <v>265</v>
      </c>
      <c r="R81" s="11"/>
      <c r="S81" s="11" t="s">
        <v>266</v>
      </c>
      <c r="T81" s="11" t="s">
        <v>265</v>
      </c>
      <c r="U81" s="11"/>
      <c r="V81" s="8" t="s">
        <v>217</v>
      </c>
      <c r="W81" s="11" t="s">
        <v>265</v>
      </c>
      <c r="X81" s="11"/>
      <c r="Y81" s="8" t="s">
        <v>217</v>
      </c>
      <c r="Z81" s="11" t="s">
        <v>265</v>
      </c>
      <c r="AA81" s="11"/>
      <c r="AB81" s="8" t="s">
        <v>217</v>
      </c>
      <c r="AC81" s="11" t="s">
        <v>265</v>
      </c>
    </row>
    <row r="82" spans="1:29" ht="64.5" customHeight="1">
      <c r="A82" s="154" t="s">
        <v>1481</v>
      </c>
      <c r="B82" s="270" t="s">
        <v>1444</v>
      </c>
      <c r="C82" s="17">
        <v>41639</v>
      </c>
      <c r="D82" s="17">
        <v>43009</v>
      </c>
      <c r="E82" s="218" t="s">
        <v>1258</v>
      </c>
      <c r="F82" s="8" t="s">
        <v>218</v>
      </c>
      <c r="G82" s="233" t="s">
        <v>1144</v>
      </c>
      <c r="H82" s="11" t="s">
        <v>1261</v>
      </c>
      <c r="I82" s="11" t="s">
        <v>1346</v>
      </c>
      <c r="J82" s="11"/>
      <c r="K82" s="11"/>
      <c r="L82" s="234">
        <v>541796.34000000008</v>
      </c>
      <c r="M82" s="11"/>
      <c r="N82" s="11" t="s">
        <v>248</v>
      </c>
      <c r="O82" s="234">
        <v>499416</v>
      </c>
      <c r="P82" s="11"/>
      <c r="Q82" s="11" t="s">
        <v>248</v>
      </c>
      <c r="R82" s="234">
        <v>499416</v>
      </c>
      <c r="S82" s="11"/>
      <c r="T82" s="11" t="s">
        <v>248</v>
      </c>
      <c r="U82" s="8" t="s">
        <v>247</v>
      </c>
      <c r="V82" s="11"/>
      <c r="W82" s="11" t="s">
        <v>249</v>
      </c>
      <c r="X82" s="8" t="s">
        <v>217</v>
      </c>
      <c r="Y82" s="11"/>
      <c r="Z82" s="11" t="s">
        <v>249</v>
      </c>
      <c r="AA82" s="8" t="s">
        <v>217</v>
      </c>
      <c r="AB82" s="11"/>
      <c r="AC82" s="11" t="s">
        <v>249</v>
      </c>
    </row>
    <row r="83" spans="1:29" ht="38.25">
      <c r="A83" s="154" t="s">
        <v>213</v>
      </c>
      <c r="B83" s="270" t="s">
        <v>1444</v>
      </c>
      <c r="C83" s="17">
        <v>40955</v>
      </c>
      <c r="D83" s="17">
        <v>44941</v>
      </c>
      <c r="E83" s="218" t="s">
        <v>1445</v>
      </c>
      <c r="F83" s="8" t="s">
        <v>218</v>
      </c>
      <c r="G83" s="233" t="s">
        <v>1144</v>
      </c>
      <c r="H83" s="11" t="s">
        <v>1354</v>
      </c>
      <c r="I83" s="223" t="s">
        <v>1346</v>
      </c>
      <c r="J83" s="11"/>
      <c r="K83" s="11"/>
      <c r="L83" s="234">
        <v>719000</v>
      </c>
      <c r="M83" s="11"/>
      <c r="N83" s="11"/>
      <c r="O83" s="8" t="s">
        <v>217</v>
      </c>
      <c r="P83" s="11"/>
      <c r="Q83" s="11"/>
      <c r="R83" s="8"/>
      <c r="S83" s="11"/>
      <c r="T83" s="11"/>
      <c r="U83" s="8"/>
      <c r="V83" s="11"/>
      <c r="W83" s="11"/>
      <c r="X83" s="8"/>
      <c r="Y83" s="11"/>
      <c r="Z83" s="11"/>
      <c r="AA83" s="8"/>
      <c r="AB83" s="11"/>
      <c r="AC83" s="11"/>
    </row>
    <row r="84" spans="1:29" ht="25.5" customHeight="1">
      <c r="A84" s="154" t="s">
        <v>214</v>
      </c>
      <c r="B84" s="270" t="s">
        <v>1444</v>
      </c>
      <c r="C84" s="17">
        <v>40893</v>
      </c>
      <c r="D84" s="17">
        <v>44597</v>
      </c>
      <c r="E84" s="218" t="s">
        <v>1106</v>
      </c>
      <c r="F84" s="8" t="s">
        <v>220</v>
      </c>
      <c r="G84" s="233" t="s">
        <v>220</v>
      </c>
      <c r="H84" s="11" t="s">
        <v>1225</v>
      </c>
      <c r="I84" s="223" t="s">
        <v>1346</v>
      </c>
      <c r="J84" s="11"/>
      <c r="K84" s="11"/>
      <c r="L84" s="234">
        <v>1742028</v>
      </c>
      <c r="M84" s="11"/>
      <c r="N84" s="11"/>
      <c r="O84" s="8" t="s">
        <v>217</v>
      </c>
      <c r="P84" s="11"/>
      <c r="Q84" s="11"/>
      <c r="R84" s="8" t="s">
        <v>217</v>
      </c>
      <c r="S84" s="11"/>
      <c r="T84" s="11"/>
      <c r="U84" s="8" t="s">
        <v>217</v>
      </c>
      <c r="V84" s="11"/>
      <c r="W84" s="11"/>
      <c r="X84" s="8" t="s">
        <v>217</v>
      </c>
      <c r="Y84" s="11"/>
      <c r="Z84" s="11"/>
      <c r="AA84" s="8" t="s">
        <v>217</v>
      </c>
      <c r="AB84" s="11"/>
      <c r="AC84" s="11"/>
    </row>
    <row r="85" spans="1:29" ht="128.25" customHeight="1" thickBot="1">
      <c r="A85" s="211" t="s">
        <v>621</v>
      </c>
      <c r="B85" s="270" t="s">
        <v>1444</v>
      </c>
      <c r="C85" s="150">
        <v>41627</v>
      </c>
      <c r="D85" s="150">
        <v>46904</v>
      </c>
      <c r="E85" s="239" t="s">
        <v>1259</v>
      </c>
      <c r="F85" s="8" t="s">
        <v>284</v>
      </c>
      <c r="G85" s="233" t="s">
        <v>1215</v>
      </c>
      <c r="H85" s="11" t="s">
        <v>1225</v>
      </c>
      <c r="I85" s="223" t="s">
        <v>1353</v>
      </c>
      <c r="J85" s="223"/>
      <c r="K85" s="223"/>
      <c r="L85" s="235"/>
      <c r="M85" s="241">
        <v>1400000</v>
      </c>
      <c r="N85" s="11" t="s">
        <v>262</v>
      </c>
      <c r="O85" s="151"/>
      <c r="P85" s="219">
        <v>1388333.32</v>
      </c>
      <c r="Q85" s="11" t="s">
        <v>262</v>
      </c>
      <c r="R85" s="151"/>
      <c r="S85" s="8" t="s">
        <v>217</v>
      </c>
      <c r="T85" s="11" t="s">
        <v>262</v>
      </c>
      <c r="U85" s="151"/>
      <c r="V85" s="8" t="s">
        <v>217</v>
      </c>
      <c r="W85" s="11" t="s">
        <v>262</v>
      </c>
      <c r="X85" s="151"/>
      <c r="Y85" s="8" t="s">
        <v>217</v>
      </c>
      <c r="Z85" s="11" t="s">
        <v>262</v>
      </c>
      <c r="AA85" s="151"/>
      <c r="AB85" s="8" t="s">
        <v>217</v>
      </c>
      <c r="AC85" s="11" t="s">
        <v>262</v>
      </c>
    </row>
    <row r="86" spans="1:29" ht="128.25" customHeight="1" thickBot="1">
      <c r="A86" s="211" t="s">
        <v>1338</v>
      </c>
      <c r="B86" s="270" t="s">
        <v>1444</v>
      </c>
      <c r="C86" s="150">
        <v>40143</v>
      </c>
      <c r="D86" s="150">
        <v>41943</v>
      </c>
      <c r="E86" s="239" t="s">
        <v>1380</v>
      </c>
      <c r="F86" s="8" t="s">
        <v>220</v>
      </c>
      <c r="G86" s="233"/>
      <c r="H86" s="11"/>
      <c r="I86" s="235"/>
      <c r="J86" s="241"/>
      <c r="K86" s="11"/>
      <c r="L86" s="151" t="s">
        <v>1381</v>
      </c>
      <c r="M86" s="219"/>
      <c r="N86" s="11"/>
      <c r="O86" s="151"/>
      <c r="P86" s="8"/>
      <c r="Q86" s="11"/>
      <c r="R86" s="151"/>
      <c r="S86" s="8"/>
      <c r="T86" s="11"/>
      <c r="U86" s="151"/>
      <c r="V86" s="8"/>
      <c r="W86" s="11"/>
      <c r="X86" s="151"/>
      <c r="Y86" s="8"/>
      <c r="Z86" s="11"/>
      <c r="AA86" s="1"/>
      <c r="AB86" s="1"/>
      <c r="AC86" s="1"/>
    </row>
    <row r="87" spans="1:29" ht="128.25" customHeight="1" thickBot="1">
      <c r="A87" s="211" t="s">
        <v>1339</v>
      </c>
      <c r="B87" s="270" t="s">
        <v>1444</v>
      </c>
      <c r="C87" s="150">
        <v>40452</v>
      </c>
      <c r="D87" s="150">
        <v>43830</v>
      </c>
      <c r="E87" s="11" t="s">
        <v>1382</v>
      </c>
      <c r="F87" s="8" t="s">
        <v>220</v>
      </c>
      <c r="G87" s="233"/>
      <c r="H87" s="11" t="s">
        <v>1383</v>
      </c>
      <c r="I87" s="235"/>
      <c r="J87" s="241"/>
      <c r="K87" s="11"/>
      <c r="L87" s="151" t="s">
        <v>1384</v>
      </c>
      <c r="M87" s="219"/>
      <c r="N87" s="11"/>
      <c r="O87" s="151"/>
      <c r="P87" s="8"/>
      <c r="Q87" s="11"/>
      <c r="R87" s="151"/>
      <c r="S87" s="8"/>
      <c r="T87" s="11"/>
      <c r="U87" s="151"/>
      <c r="V87" s="8"/>
      <c r="W87" s="11"/>
      <c r="X87" s="151"/>
      <c r="Y87" s="8"/>
      <c r="Z87" s="11"/>
      <c r="AA87" s="1"/>
      <c r="AB87" s="1"/>
      <c r="AC87" s="1"/>
    </row>
    <row r="88" spans="1:29">
      <c r="B88" s="2"/>
      <c r="C88" s="2"/>
      <c r="D88" s="2"/>
      <c r="E88" s="2"/>
    </row>
    <row r="89" spans="1:29">
      <c r="B89" s="2"/>
      <c r="C89" s="2"/>
      <c r="D89" s="2"/>
      <c r="E89" s="2"/>
    </row>
    <row r="90" spans="1:29">
      <c r="B90" s="2"/>
      <c r="C90" s="2"/>
      <c r="D90" s="2"/>
      <c r="E90" s="2"/>
    </row>
    <row r="91" spans="1:29">
      <c r="B91" s="2"/>
      <c r="C91" s="2"/>
      <c r="D91" s="2"/>
      <c r="E91" s="2"/>
    </row>
    <row r="92" spans="1:29">
      <c r="B92" s="2"/>
      <c r="C92" s="2"/>
      <c r="D92" s="2"/>
      <c r="E92" s="2"/>
    </row>
    <row r="93" spans="1:29">
      <c r="B93" s="2"/>
      <c r="C93" s="2"/>
      <c r="D93" s="2"/>
      <c r="E93" s="2"/>
    </row>
    <row r="94" spans="1:29">
      <c r="B94" s="2"/>
      <c r="C94" s="2"/>
      <c r="D94" s="2"/>
      <c r="E94" s="2"/>
    </row>
    <row r="95" spans="1:29">
      <c r="B95" s="2"/>
      <c r="C95" s="2"/>
      <c r="D95" s="2"/>
      <c r="E95" s="2"/>
    </row>
    <row r="96" spans="1:29">
      <c r="B96" s="2"/>
      <c r="C96" s="2"/>
      <c r="D96" s="2"/>
      <c r="E96" s="2"/>
    </row>
    <row r="97" spans="2:5">
      <c r="B97" s="2"/>
      <c r="C97" s="2"/>
      <c r="D97" s="2"/>
      <c r="E97" s="2"/>
    </row>
    <row r="98" spans="2:5">
      <c r="B98" s="2"/>
      <c r="C98" s="2"/>
      <c r="D98" s="2"/>
      <c r="E98" s="2"/>
    </row>
    <row r="99" spans="2:5">
      <c r="B99" s="2"/>
      <c r="C99" s="2"/>
      <c r="D99" s="2"/>
      <c r="E99" s="2"/>
    </row>
    <row r="100" spans="2:5">
      <c r="B100" s="2"/>
      <c r="C100" s="2"/>
      <c r="D100" s="2"/>
      <c r="E100" s="2"/>
    </row>
    <row r="101" spans="2:5">
      <c r="B101" s="2"/>
      <c r="C101" s="2"/>
      <c r="D101" s="2"/>
      <c r="E101" s="2"/>
    </row>
    <row r="102" spans="2:5">
      <c r="B102" s="2"/>
      <c r="C102" s="2"/>
      <c r="D102" s="2"/>
      <c r="E102" s="2"/>
    </row>
    <row r="103" spans="2:5">
      <c r="B103" s="2"/>
      <c r="C103" s="2"/>
      <c r="D103" s="2"/>
      <c r="E103" s="2"/>
    </row>
    <row r="104" spans="2:5">
      <c r="B104" s="2"/>
      <c r="C104" s="2"/>
      <c r="D104" s="2"/>
      <c r="E104" s="2"/>
    </row>
    <row r="105" spans="2:5">
      <c r="B105" s="2"/>
      <c r="C105" s="2"/>
      <c r="D105" s="2"/>
      <c r="E105" s="2"/>
    </row>
    <row r="106" spans="2:5">
      <c r="B106" s="2"/>
      <c r="C106" s="2"/>
      <c r="D106" s="2"/>
      <c r="E106" s="2"/>
    </row>
    <row r="107" spans="2:5">
      <c r="B107" s="2"/>
      <c r="C107" s="2"/>
      <c r="D107" s="2"/>
      <c r="E107" s="2"/>
    </row>
    <row r="108" spans="2:5">
      <c r="B108" s="2"/>
      <c r="C108" s="2"/>
      <c r="D108" s="2"/>
      <c r="E108" s="2"/>
    </row>
    <row r="109" spans="2:5">
      <c r="B109" s="2"/>
      <c r="C109" s="2"/>
      <c r="D109" s="2"/>
      <c r="E109" s="2"/>
    </row>
    <row r="110" spans="2:5">
      <c r="B110" s="2"/>
      <c r="C110" s="2"/>
      <c r="D110" s="2"/>
      <c r="E110" s="2"/>
    </row>
    <row r="111" spans="2:5">
      <c r="B111" s="2"/>
      <c r="C111" s="2"/>
      <c r="D111" s="2"/>
      <c r="E111" s="2"/>
    </row>
    <row r="112" spans="2:5">
      <c r="B112" s="2"/>
      <c r="C112" s="2"/>
      <c r="D112" s="2"/>
      <c r="E112" s="2"/>
    </row>
    <row r="113" spans="2:5">
      <c r="B113" s="2"/>
      <c r="C113" s="2"/>
      <c r="D113" s="2"/>
      <c r="E113" s="2"/>
    </row>
    <row r="114" spans="2:5">
      <c r="B114" s="2"/>
      <c r="C114" s="2"/>
      <c r="D114" s="2"/>
      <c r="E114" s="2"/>
    </row>
    <row r="115" spans="2:5">
      <c r="B115" s="2"/>
      <c r="C115" s="2"/>
      <c r="D115" s="2"/>
      <c r="E115" s="2"/>
    </row>
    <row r="116" spans="2:5">
      <c r="B116" s="2"/>
      <c r="C116" s="2"/>
      <c r="D116" s="2"/>
      <c r="E116" s="2"/>
    </row>
    <row r="117" spans="2:5">
      <c r="B117" s="2"/>
      <c r="C117" s="2"/>
      <c r="D117" s="2"/>
      <c r="E117" s="2"/>
    </row>
    <row r="118" spans="2:5">
      <c r="B118" s="2"/>
      <c r="C118" s="2"/>
      <c r="D118" s="2"/>
      <c r="E118" s="2"/>
    </row>
    <row r="119" spans="2:5">
      <c r="B119" s="2"/>
      <c r="C119" s="2"/>
      <c r="D119" s="2"/>
      <c r="E119" s="2"/>
    </row>
    <row r="120" spans="2:5">
      <c r="B120" s="2"/>
      <c r="C120" s="2"/>
      <c r="D120" s="2"/>
      <c r="E120" s="2"/>
    </row>
    <row r="121" spans="2:5">
      <c r="B121" s="2"/>
      <c r="C121" s="2"/>
      <c r="D121" s="2"/>
      <c r="E121" s="2"/>
    </row>
    <row r="122" spans="2:5">
      <c r="B122" s="2"/>
      <c r="C122" s="2"/>
      <c r="D122" s="2"/>
      <c r="E122" s="2"/>
    </row>
    <row r="123" spans="2:5">
      <c r="B123" s="2"/>
      <c r="C123" s="2"/>
      <c r="D123" s="2"/>
      <c r="E123" s="2"/>
    </row>
    <row r="124" spans="2:5">
      <c r="B124" s="2"/>
      <c r="C124" s="2"/>
      <c r="D124" s="2"/>
      <c r="E124" s="2"/>
    </row>
    <row r="125" spans="2:5">
      <c r="B125" s="2"/>
      <c r="C125" s="2"/>
      <c r="D125" s="2"/>
      <c r="E125" s="2"/>
    </row>
    <row r="126" spans="2:5">
      <c r="B126" s="2"/>
      <c r="C126" s="2"/>
      <c r="D126" s="2"/>
      <c r="E126" s="2"/>
    </row>
    <row r="127" spans="2:5">
      <c r="B127" s="2"/>
      <c r="C127" s="2"/>
      <c r="D127" s="2"/>
      <c r="E127" s="2"/>
    </row>
    <row r="128" spans="2:5">
      <c r="B128" s="2"/>
      <c r="C128" s="2"/>
      <c r="D128" s="2"/>
      <c r="E128" s="2"/>
    </row>
    <row r="129" spans="2:5">
      <c r="B129" s="2"/>
      <c r="C129" s="2"/>
      <c r="D129" s="2"/>
      <c r="E129" s="2"/>
    </row>
    <row r="130" spans="2:5">
      <c r="B130" s="2"/>
      <c r="C130" s="2"/>
      <c r="D130" s="2"/>
      <c r="E130" s="2"/>
    </row>
    <row r="131" spans="2:5">
      <c r="B131" s="2"/>
      <c r="C131" s="2"/>
      <c r="D131" s="2"/>
      <c r="E131" s="2"/>
    </row>
    <row r="132" spans="2:5">
      <c r="B132" s="2"/>
      <c r="C132" s="2"/>
      <c r="D132" s="2"/>
      <c r="E132" s="2"/>
    </row>
    <row r="133" spans="2:5">
      <c r="B133" s="2"/>
      <c r="C133" s="2"/>
      <c r="D133" s="2"/>
      <c r="E133" s="2"/>
    </row>
    <row r="134" spans="2:5">
      <c r="B134" s="2"/>
      <c r="C134" s="2"/>
      <c r="D134" s="2"/>
      <c r="E134" s="2"/>
    </row>
    <row r="135" spans="2:5">
      <c r="B135" s="2"/>
      <c r="C135" s="2"/>
      <c r="D135" s="2"/>
      <c r="E135" s="2"/>
    </row>
    <row r="136" spans="2:5">
      <c r="B136" s="2"/>
      <c r="C136" s="2"/>
      <c r="D136" s="2"/>
      <c r="E136" s="2"/>
    </row>
    <row r="137" spans="2:5">
      <c r="B137" s="2"/>
      <c r="C137" s="2"/>
      <c r="D137" s="2"/>
      <c r="E137" s="2"/>
    </row>
    <row r="138" spans="2:5">
      <c r="B138" s="2"/>
      <c r="C138" s="2"/>
      <c r="D138" s="2"/>
      <c r="E138" s="2"/>
    </row>
    <row r="139" spans="2:5">
      <c r="B139" s="2"/>
      <c r="C139" s="2"/>
      <c r="D139" s="2"/>
      <c r="E139" s="2"/>
    </row>
    <row r="140" spans="2:5">
      <c r="B140" s="2"/>
      <c r="C140" s="2"/>
      <c r="D140" s="2"/>
      <c r="E140" s="2"/>
    </row>
    <row r="141" spans="2:5">
      <c r="B141" s="2"/>
      <c r="C141" s="2"/>
      <c r="D141" s="2"/>
      <c r="E141" s="2"/>
    </row>
    <row r="142" spans="2:5">
      <c r="B142" s="2"/>
      <c r="C142" s="2"/>
      <c r="D142" s="2"/>
      <c r="E142" s="2"/>
    </row>
    <row r="143" spans="2:5">
      <c r="B143" s="2"/>
      <c r="C143" s="2"/>
      <c r="D143" s="2"/>
      <c r="E143" s="2"/>
    </row>
    <row r="144" spans="2:5">
      <c r="B144" s="2"/>
      <c r="C144" s="2"/>
      <c r="D144" s="2"/>
      <c r="E144" s="2"/>
    </row>
    <row r="145" spans="2:5">
      <c r="B145" s="2"/>
      <c r="C145" s="2"/>
      <c r="D145" s="2"/>
      <c r="E145" s="2"/>
    </row>
    <row r="146" spans="2:5">
      <c r="B146" s="2"/>
      <c r="C146" s="2"/>
      <c r="D146" s="2"/>
      <c r="E146" s="2"/>
    </row>
    <row r="147" spans="2:5">
      <c r="B147" s="2"/>
      <c r="C147" s="2"/>
      <c r="D147" s="2"/>
      <c r="E147" s="2"/>
    </row>
    <row r="148" spans="2:5">
      <c r="B148" s="2"/>
      <c r="C148" s="2"/>
      <c r="D148" s="2"/>
      <c r="E148" s="2"/>
    </row>
    <row r="149" spans="2:5">
      <c r="B149" s="2"/>
      <c r="C149" s="2"/>
      <c r="D149" s="2"/>
      <c r="E149" s="2"/>
    </row>
    <row r="150" spans="2:5">
      <c r="B150" s="2"/>
      <c r="C150" s="2"/>
      <c r="D150" s="2"/>
      <c r="E150" s="2"/>
    </row>
    <row r="151" spans="2:5">
      <c r="B151" s="2"/>
      <c r="C151" s="2"/>
      <c r="D151" s="2"/>
      <c r="E151" s="2"/>
    </row>
    <row r="152" spans="2:5">
      <c r="B152" s="2"/>
      <c r="C152" s="2"/>
      <c r="D152" s="2"/>
      <c r="E152" s="2"/>
    </row>
    <row r="153" spans="2:5">
      <c r="B153" s="2"/>
      <c r="C153" s="2"/>
      <c r="D153" s="2"/>
      <c r="E153" s="2"/>
    </row>
    <row r="154" spans="2:5">
      <c r="B154" s="2"/>
      <c r="C154" s="2"/>
      <c r="D154" s="2"/>
      <c r="E154" s="2"/>
    </row>
    <row r="155" spans="2:5">
      <c r="B155" s="2"/>
      <c r="C155" s="2"/>
      <c r="D155" s="2"/>
      <c r="E155" s="2"/>
    </row>
    <row r="156" spans="2:5">
      <c r="B156" s="2"/>
      <c r="C156" s="2"/>
      <c r="D156" s="2"/>
      <c r="E156" s="2"/>
    </row>
    <row r="157" spans="2:5">
      <c r="B157" s="2"/>
      <c r="C157" s="2"/>
      <c r="D157" s="2"/>
      <c r="E157" s="2"/>
    </row>
    <row r="158" spans="2:5">
      <c r="B158" s="2"/>
      <c r="C158" s="2"/>
      <c r="D158" s="2"/>
      <c r="E158" s="2"/>
    </row>
    <row r="159" spans="2:5">
      <c r="B159" s="2"/>
      <c r="C159" s="2"/>
      <c r="D159" s="2"/>
      <c r="E159" s="2"/>
    </row>
    <row r="160" spans="2:5">
      <c r="B160" s="2"/>
      <c r="C160" s="2"/>
      <c r="D160" s="2"/>
      <c r="E160" s="2"/>
    </row>
    <row r="161" spans="2:5">
      <c r="B161" s="2"/>
      <c r="C161" s="2"/>
      <c r="D161" s="2"/>
      <c r="E161" s="2"/>
    </row>
    <row r="162" spans="2:5">
      <c r="B162" s="2"/>
      <c r="C162" s="2"/>
      <c r="D162" s="2"/>
      <c r="E162" s="2"/>
    </row>
    <row r="163" spans="2:5">
      <c r="B163" s="2"/>
      <c r="C163" s="2"/>
      <c r="D163" s="2"/>
      <c r="E163" s="2"/>
    </row>
    <row r="164" spans="2:5">
      <c r="B164" s="2"/>
      <c r="C164" s="2"/>
      <c r="D164" s="2"/>
      <c r="E164" s="2"/>
    </row>
    <row r="165" spans="2:5">
      <c r="B165" s="2"/>
      <c r="C165" s="2"/>
      <c r="D165" s="2"/>
      <c r="E165" s="2"/>
    </row>
    <row r="166" spans="2:5">
      <c r="B166" s="2"/>
      <c r="C166" s="2"/>
      <c r="D166" s="2"/>
      <c r="E166" s="2"/>
    </row>
    <row r="167" spans="2:5">
      <c r="B167" s="2"/>
      <c r="C167" s="2"/>
      <c r="D167" s="2"/>
      <c r="E167" s="2"/>
    </row>
    <row r="168" spans="2:5">
      <c r="B168" s="2"/>
      <c r="C168" s="2"/>
      <c r="D168" s="2"/>
      <c r="E168" s="2"/>
    </row>
    <row r="169" spans="2:5">
      <c r="B169" s="2"/>
      <c r="C169" s="2"/>
      <c r="D169" s="2"/>
      <c r="E169" s="2"/>
    </row>
    <row r="170" spans="2:5">
      <c r="B170" s="2"/>
      <c r="C170" s="2"/>
      <c r="D170" s="2"/>
      <c r="E170" s="2"/>
    </row>
    <row r="171" spans="2:5">
      <c r="B171" s="2"/>
      <c r="C171" s="2"/>
      <c r="D171" s="2"/>
      <c r="E171" s="2"/>
    </row>
    <row r="172" spans="2:5">
      <c r="B172" s="2"/>
      <c r="C172" s="2"/>
      <c r="D172" s="2"/>
      <c r="E172" s="2"/>
    </row>
    <row r="173" spans="2:5">
      <c r="B173" s="2"/>
      <c r="C173" s="2"/>
      <c r="D173" s="2"/>
      <c r="E173" s="2"/>
    </row>
    <row r="174" spans="2:5">
      <c r="B174" s="2"/>
      <c r="C174" s="2"/>
      <c r="D174" s="2"/>
      <c r="E174" s="2"/>
    </row>
    <row r="175" spans="2:5">
      <c r="B175" s="2"/>
      <c r="C175" s="2"/>
      <c r="D175" s="2"/>
      <c r="E175" s="2"/>
    </row>
    <row r="176" spans="2:5">
      <c r="B176" s="2"/>
      <c r="C176" s="2"/>
      <c r="D176" s="2"/>
      <c r="E176" s="2"/>
    </row>
    <row r="177" spans="2:5">
      <c r="B177" s="2"/>
      <c r="C177" s="2"/>
      <c r="D177" s="2"/>
      <c r="E177" s="2"/>
    </row>
    <row r="178" spans="2:5">
      <c r="B178" s="2"/>
      <c r="C178" s="2"/>
      <c r="D178" s="2"/>
      <c r="E178" s="2"/>
    </row>
    <row r="179" spans="2:5">
      <c r="B179" s="2"/>
      <c r="C179" s="2"/>
      <c r="D179" s="2"/>
      <c r="E179" s="2"/>
    </row>
    <row r="180" spans="2:5">
      <c r="B180" s="2"/>
      <c r="C180" s="2"/>
      <c r="D180" s="2"/>
      <c r="E180" s="2"/>
    </row>
    <row r="181" spans="2:5">
      <c r="B181" s="2"/>
      <c r="C181" s="2"/>
      <c r="D181" s="2"/>
      <c r="E181" s="2"/>
    </row>
    <row r="182" spans="2:5">
      <c r="B182" s="2"/>
      <c r="C182" s="2"/>
      <c r="D182" s="2"/>
      <c r="E182" s="2"/>
    </row>
    <row r="183" spans="2:5">
      <c r="B183" s="2"/>
      <c r="C183" s="2"/>
      <c r="D183" s="2"/>
      <c r="E183" s="2"/>
    </row>
    <row r="184" spans="2:5">
      <c r="B184" s="2"/>
      <c r="C184" s="2"/>
      <c r="D184" s="2"/>
      <c r="E184" s="2"/>
    </row>
    <row r="185" spans="2:5">
      <c r="B185" s="2"/>
      <c r="C185" s="2"/>
      <c r="D185" s="2"/>
      <c r="E185" s="2"/>
    </row>
    <row r="186" spans="2:5">
      <c r="B186" s="2"/>
      <c r="C186" s="2"/>
      <c r="D186" s="2"/>
      <c r="E186" s="2"/>
    </row>
    <row r="187" spans="2:5">
      <c r="B187" s="2"/>
      <c r="C187" s="2"/>
      <c r="D187" s="2"/>
      <c r="E187" s="2"/>
    </row>
    <row r="188" spans="2:5">
      <c r="B188" s="2"/>
      <c r="C188" s="2"/>
      <c r="D188" s="2"/>
      <c r="E188" s="2"/>
    </row>
    <row r="189" spans="2:5">
      <c r="B189" s="2"/>
      <c r="C189" s="2"/>
      <c r="D189" s="2"/>
      <c r="E189" s="2"/>
    </row>
    <row r="190" spans="2:5">
      <c r="B190" s="2"/>
      <c r="C190" s="2"/>
      <c r="D190" s="2"/>
      <c r="E190" s="2"/>
    </row>
    <row r="191" spans="2:5">
      <c r="B191" s="2"/>
      <c r="C191" s="2"/>
      <c r="D191" s="2"/>
      <c r="E191" s="2"/>
    </row>
    <row r="192" spans="2:5">
      <c r="B192" s="2"/>
      <c r="C192" s="2"/>
      <c r="D192" s="2"/>
      <c r="E192" s="2"/>
    </row>
    <row r="193" spans="2:5">
      <c r="B193" s="2"/>
      <c r="C193" s="2"/>
      <c r="D193" s="2"/>
      <c r="E193" s="2"/>
    </row>
    <row r="194" spans="2:5">
      <c r="B194" s="2"/>
      <c r="C194" s="2"/>
      <c r="D194" s="2"/>
      <c r="E194" s="2"/>
    </row>
    <row r="195" spans="2:5">
      <c r="B195" s="2"/>
      <c r="C195" s="2"/>
      <c r="D195" s="2"/>
      <c r="E195" s="2"/>
    </row>
    <row r="196" spans="2:5">
      <c r="B196" s="2"/>
      <c r="C196" s="2"/>
      <c r="D196" s="2"/>
      <c r="E196" s="2"/>
    </row>
    <row r="197" spans="2:5">
      <c r="B197" s="2"/>
      <c r="C197" s="2"/>
      <c r="D197" s="2"/>
      <c r="E197" s="2"/>
    </row>
    <row r="198" spans="2:5">
      <c r="B198" s="2"/>
      <c r="C198" s="2"/>
      <c r="D198" s="2"/>
      <c r="E198" s="2"/>
    </row>
    <row r="199" spans="2:5">
      <c r="B199" s="2"/>
      <c r="C199" s="2"/>
      <c r="D199" s="2"/>
      <c r="E199" s="2"/>
    </row>
    <row r="200" spans="2:5">
      <c r="B200" s="2"/>
      <c r="C200" s="2"/>
      <c r="D200" s="2"/>
      <c r="E200" s="2"/>
    </row>
    <row r="201" spans="2:5">
      <c r="B201" s="2"/>
      <c r="C201" s="2"/>
      <c r="D201" s="2"/>
      <c r="E201" s="2"/>
    </row>
    <row r="202" spans="2:5">
      <c r="B202" s="2"/>
      <c r="C202" s="2"/>
      <c r="D202" s="2"/>
      <c r="E202" s="2"/>
    </row>
    <row r="203" spans="2:5">
      <c r="B203" s="2"/>
      <c r="C203" s="2"/>
      <c r="D203" s="2"/>
      <c r="E203" s="2"/>
    </row>
    <row r="204" spans="2:5">
      <c r="B204" s="2"/>
      <c r="C204" s="2"/>
      <c r="D204" s="2"/>
      <c r="E204" s="2"/>
    </row>
    <row r="205" spans="2:5">
      <c r="B205" s="2"/>
      <c r="C205" s="2"/>
      <c r="D205" s="2"/>
      <c r="E205" s="2"/>
    </row>
    <row r="206" spans="2:5">
      <c r="B206" s="2"/>
      <c r="C206" s="2"/>
      <c r="D206" s="2"/>
      <c r="E206" s="2"/>
    </row>
    <row r="207" spans="2:5">
      <c r="B207" s="2"/>
      <c r="C207" s="2"/>
      <c r="D207" s="2"/>
      <c r="E207" s="2"/>
    </row>
    <row r="208" spans="2:5">
      <c r="B208" s="2"/>
      <c r="C208" s="2"/>
      <c r="D208" s="2"/>
      <c r="E208" s="2"/>
    </row>
    <row r="209" spans="2:5">
      <c r="B209" s="2"/>
      <c r="C209" s="2"/>
      <c r="D209" s="2"/>
      <c r="E209" s="2"/>
    </row>
    <row r="210" spans="2:5">
      <c r="B210" s="2"/>
      <c r="C210" s="2"/>
      <c r="D210" s="2"/>
      <c r="E210" s="2"/>
    </row>
    <row r="211" spans="2:5">
      <c r="B211" s="2"/>
      <c r="C211" s="2"/>
      <c r="D211" s="2"/>
      <c r="E211" s="2"/>
    </row>
    <row r="212" spans="2:5">
      <c r="B212" s="2"/>
      <c r="C212" s="2"/>
      <c r="D212" s="2"/>
      <c r="E212" s="2"/>
    </row>
    <row r="213" spans="2:5">
      <c r="B213" s="2"/>
      <c r="C213" s="2"/>
      <c r="D213" s="2"/>
      <c r="E213" s="2"/>
    </row>
    <row r="214" spans="2:5">
      <c r="B214" s="2"/>
      <c r="C214" s="2"/>
      <c r="D214" s="2"/>
      <c r="E214" s="2"/>
    </row>
    <row r="215" spans="2:5">
      <c r="B215" s="2"/>
      <c r="C215" s="2"/>
      <c r="D215" s="2"/>
      <c r="E215" s="2"/>
    </row>
    <row r="216" spans="2:5">
      <c r="B216" s="2"/>
      <c r="C216" s="2"/>
      <c r="D216" s="2"/>
      <c r="E216" s="2"/>
    </row>
    <row r="217" spans="2:5">
      <c r="B217" s="2"/>
      <c r="C217" s="2"/>
      <c r="D217" s="2"/>
      <c r="E217" s="2"/>
    </row>
    <row r="218" spans="2:5">
      <c r="B218" s="2"/>
      <c r="C218" s="2"/>
      <c r="D218" s="2"/>
      <c r="E218" s="2"/>
    </row>
    <row r="219" spans="2:5">
      <c r="B219" s="2"/>
      <c r="C219" s="2"/>
      <c r="D219" s="2"/>
      <c r="E219" s="2"/>
    </row>
    <row r="220" spans="2:5">
      <c r="B220" s="2"/>
      <c r="C220" s="2"/>
      <c r="D220" s="2"/>
      <c r="E220" s="2"/>
    </row>
    <row r="221" spans="2:5">
      <c r="B221" s="2"/>
      <c r="C221" s="2"/>
      <c r="D221" s="2"/>
      <c r="E221" s="2"/>
    </row>
    <row r="222" spans="2:5">
      <c r="B222" s="2"/>
      <c r="C222" s="2"/>
      <c r="D222" s="2"/>
      <c r="E222" s="2"/>
    </row>
    <row r="223" spans="2:5">
      <c r="B223" s="2"/>
      <c r="C223" s="2"/>
      <c r="D223" s="2"/>
      <c r="E223" s="2"/>
    </row>
    <row r="224" spans="2:5">
      <c r="B224" s="2"/>
      <c r="C224" s="2"/>
      <c r="D224" s="2"/>
      <c r="E224" s="2"/>
    </row>
    <row r="225" spans="2:5">
      <c r="B225" s="2"/>
      <c r="C225" s="2"/>
      <c r="D225" s="2"/>
      <c r="E225" s="2"/>
    </row>
    <row r="226" spans="2:5">
      <c r="B226" s="2"/>
      <c r="C226" s="2"/>
      <c r="D226" s="2"/>
      <c r="E226" s="2"/>
    </row>
    <row r="227" spans="2:5">
      <c r="B227" s="2"/>
      <c r="C227" s="2"/>
      <c r="D227" s="2"/>
      <c r="E227" s="2"/>
    </row>
    <row r="228" spans="2:5">
      <c r="B228" s="2"/>
      <c r="C228" s="2"/>
      <c r="D228" s="2"/>
      <c r="E228" s="2"/>
    </row>
    <row r="229" spans="2:5">
      <c r="B229" s="2"/>
      <c r="C229" s="2"/>
      <c r="D229" s="2"/>
      <c r="E229" s="2"/>
    </row>
    <row r="230" spans="2:5">
      <c r="B230" s="2"/>
      <c r="C230" s="2"/>
      <c r="D230" s="2"/>
      <c r="E230" s="2"/>
    </row>
    <row r="231" spans="2:5">
      <c r="B231" s="2"/>
      <c r="C231" s="2"/>
      <c r="D231" s="2"/>
      <c r="E231" s="2"/>
    </row>
    <row r="232" spans="2:5">
      <c r="B232" s="2"/>
      <c r="C232" s="2"/>
      <c r="D232" s="2"/>
      <c r="E232" s="2"/>
    </row>
    <row r="233" spans="2:5">
      <c r="B233" s="2"/>
      <c r="C233" s="2"/>
      <c r="D233" s="2"/>
      <c r="E233" s="2"/>
    </row>
    <row r="234" spans="2:5">
      <c r="B234" s="2"/>
      <c r="C234" s="2"/>
      <c r="D234" s="2"/>
      <c r="E234" s="2"/>
    </row>
    <row r="235" spans="2:5">
      <c r="B235" s="2"/>
      <c r="C235" s="2"/>
      <c r="D235" s="2"/>
      <c r="E235" s="2"/>
    </row>
    <row r="236" spans="2:5">
      <c r="B236" s="2"/>
      <c r="C236" s="2"/>
      <c r="D236" s="2"/>
      <c r="E236" s="2"/>
    </row>
    <row r="237" spans="2:5">
      <c r="B237" s="2"/>
      <c r="C237" s="2"/>
      <c r="D237" s="2"/>
      <c r="E237" s="2"/>
    </row>
    <row r="238" spans="2:5">
      <c r="B238" s="2"/>
      <c r="C238" s="2"/>
      <c r="D238" s="2"/>
      <c r="E238" s="2"/>
    </row>
    <row r="239" spans="2:5">
      <c r="B239" s="2"/>
      <c r="C239" s="2"/>
      <c r="D239" s="2"/>
      <c r="E239" s="2"/>
    </row>
    <row r="240" spans="2:5">
      <c r="B240" s="2"/>
      <c r="C240" s="2"/>
      <c r="D240" s="2"/>
      <c r="E240" s="2"/>
    </row>
    <row r="241" spans="2:5">
      <c r="B241" s="2"/>
      <c r="C241" s="2"/>
      <c r="D241" s="2"/>
      <c r="E241" s="2"/>
    </row>
    <row r="242" spans="2:5">
      <c r="B242" s="2"/>
      <c r="C242" s="2"/>
      <c r="D242" s="2"/>
      <c r="E242" s="2"/>
    </row>
    <row r="243" spans="2:5">
      <c r="B243" s="2"/>
      <c r="C243" s="2"/>
      <c r="D243" s="2"/>
      <c r="E243" s="2"/>
    </row>
    <row r="244" spans="2:5">
      <c r="B244" s="2"/>
      <c r="C244" s="2"/>
      <c r="D244" s="2"/>
      <c r="E244" s="2"/>
    </row>
    <row r="245" spans="2:5">
      <c r="B245" s="2"/>
      <c r="C245" s="2"/>
      <c r="D245" s="2"/>
      <c r="E245" s="2"/>
    </row>
    <row r="246" spans="2:5">
      <c r="B246" s="2"/>
      <c r="C246" s="2"/>
      <c r="D246" s="2"/>
      <c r="E246" s="2"/>
    </row>
    <row r="247" spans="2:5">
      <c r="B247" s="2"/>
      <c r="C247" s="2"/>
      <c r="D247" s="2"/>
      <c r="E247" s="2"/>
    </row>
    <row r="248" spans="2:5">
      <c r="B248" s="2"/>
      <c r="C248" s="2"/>
      <c r="D248" s="2"/>
      <c r="E248" s="2"/>
    </row>
    <row r="249" spans="2:5">
      <c r="B249" s="2"/>
      <c r="C249" s="2"/>
      <c r="D249" s="2"/>
      <c r="E249" s="2"/>
    </row>
    <row r="250" spans="2:5">
      <c r="B250" s="2"/>
      <c r="C250" s="2"/>
      <c r="D250" s="2"/>
      <c r="E250" s="2"/>
    </row>
    <row r="251" spans="2:5">
      <c r="B251" s="2"/>
      <c r="C251" s="2"/>
      <c r="D251" s="2"/>
      <c r="E251" s="2"/>
    </row>
    <row r="252" spans="2:5">
      <c r="B252" s="2"/>
      <c r="C252" s="2"/>
      <c r="D252" s="2"/>
      <c r="E252" s="2"/>
    </row>
    <row r="253" spans="2:5">
      <c r="B253" s="2"/>
      <c r="C253" s="2"/>
      <c r="D253" s="2"/>
      <c r="E253" s="2"/>
    </row>
    <row r="254" spans="2:5">
      <c r="B254" s="2"/>
      <c r="C254" s="2"/>
      <c r="D254" s="2"/>
      <c r="E254" s="2"/>
    </row>
    <row r="255" spans="2:5">
      <c r="B255" s="2"/>
      <c r="C255" s="2"/>
      <c r="D255" s="2"/>
      <c r="E255" s="2"/>
    </row>
    <row r="256" spans="2:5">
      <c r="B256" s="2"/>
      <c r="C256" s="2"/>
      <c r="D256" s="2"/>
      <c r="E256" s="2"/>
    </row>
    <row r="257" spans="2:5">
      <c r="B257" s="2"/>
      <c r="C257" s="2"/>
      <c r="D257" s="2"/>
      <c r="E257" s="2"/>
    </row>
    <row r="258" spans="2:5">
      <c r="B258" s="2"/>
      <c r="C258" s="2"/>
      <c r="D258" s="2"/>
      <c r="E258" s="2"/>
    </row>
    <row r="259" spans="2:5">
      <c r="B259" s="2"/>
      <c r="C259" s="2"/>
      <c r="D259" s="2"/>
      <c r="E259" s="2"/>
    </row>
    <row r="260" spans="2:5">
      <c r="B260" s="2"/>
      <c r="C260" s="2"/>
      <c r="D260" s="2"/>
      <c r="E260" s="2"/>
    </row>
    <row r="261" spans="2:5">
      <c r="B261" s="2"/>
      <c r="C261" s="2"/>
      <c r="D261" s="2"/>
      <c r="E261" s="2"/>
    </row>
    <row r="262" spans="2:5">
      <c r="B262" s="2"/>
      <c r="C262" s="2"/>
      <c r="D262" s="2"/>
      <c r="E262" s="2"/>
    </row>
    <row r="263" spans="2:5">
      <c r="B263" s="2"/>
      <c r="C263" s="2"/>
      <c r="D263" s="2"/>
      <c r="E263" s="2"/>
    </row>
    <row r="264" spans="2:5">
      <c r="B264" s="2"/>
      <c r="C264" s="2"/>
      <c r="D264" s="2"/>
      <c r="E264" s="2"/>
    </row>
    <row r="265" spans="2:5">
      <c r="B265" s="2"/>
      <c r="C265" s="2"/>
      <c r="D265" s="2"/>
      <c r="E265" s="2"/>
    </row>
    <row r="266" spans="2:5">
      <c r="B266" s="2"/>
      <c r="C266" s="2"/>
      <c r="D266" s="2"/>
      <c r="E266" s="2"/>
    </row>
    <row r="267" spans="2:5">
      <c r="B267" s="2"/>
      <c r="C267" s="2"/>
      <c r="D267" s="2"/>
      <c r="E267" s="2"/>
    </row>
    <row r="268" spans="2:5">
      <c r="B268" s="2"/>
      <c r="C268" s="2"/>
      <c r="D268" s="2"/>
      <c r="E268" s="2"/>
    </row>
    <row r="269" spans="2:5">
      <c r="B269" s="2"/>
      <c r="C269" s="2"/>
      <c r="D269" s="2"/>
      <c r="E269" s="2"/>
    </row>
    <row r="270" spans="2:5">
      <c r="B270" s="2"/>
      <c r="C270" s="2"/>
      <c r="D270" s="2"/>
      <c r="E270" s="2"/>
    </row>
    <row r="271" spans="2:5">
      <c r="B271" s="2"/>
      <c r="C271" s="2"/>
      <c r="D271" s="2"/>
      <c r="E271" s="2"/>
    </row>
    <row r="272" spans="2:5">
      <c r="B272" s="2"/>
      <c r="C272" s="2"/>
      <c r="D272" s="2"/>
      <c r="E272" s="2"/>
    </row>
    <row r="273" spans="2:5">
      <c r="B273" s="2"/>
      <c r="C273" s="2"/>
      <c r="D273" s="2"/>
      <c r="E273" s="2"/>
    </row>
    <row r="274" spans="2:5">
      <c r="B274" s="2"/>
      <c r="C274" s="2"/>
      <c r="D274" s="2"/>
      <c r="E274" s="2"/>
    </row>
    <row r="275" spans="2:5">
      <c r="B275" s="2"/>
      <c r="C275" s="2"/>
      <c r="D275" s="2"/>
      <c r="E275" s="2"/>
    </row>
    <row r="276" spans="2:5">
      <c r="B276" s="2"/>
      <c r="C276" s="2"/>
      <c r="D276" s="2"/>
      <c r="E276" s="2"/>
    </row>
    <row r="277" spans="2:5">
      <c r="B277" s="2"/>
      <c r="C277" s="2"/>
      <c r="D277" s="2"/>
      <c r="E277" s="2"/>
    </row>
    <row r="278" spans="2:5">
      <c r="B278" s="2"/>
      <c r="C278" s="2"/>
      <c r="D278" s="2"/>
      <c r="E278" s="2"/>
    </row>
    <row r="279" spans="2:5">
      <c r="B279" s="2"/>
      <c r="C279" s="2"/>
      <c r="D279" s="2"/>
      <c r="E279" s="2"/>
    </row>
    <row r="280" spans="2:5">
      <c r="B280" s="2"/>
      <c r="C280" s="2"/>
      <c r="D280" s="2"/>
      <c r="E280" s="2"/>
    </row>
    <row r="281" spans="2:5">
      <c r="B281" s="2"/>
      <c r="C281" s="2"/>
      <c r="D281" s="2"/>
      <c r="E281" s="2"/>
    </row>
    <row r="282" spans="2:5">
      <c r="B282" s="2"/>
      <c r="C282" s="2"/>
      <c r="D282" s="2"/>
      <c r="E282" s="2"/>
    </row>
    <row r="283" spans="2:5">
      <c r="B283" s="2"/>
      <c r="C283" s="2"/>
      <c r="D283" s="2"/>
      <c r="E283" s="2"/>
    </row>
    <row r="284" spans="2:5">
      <c r="B284" s="2"/>
      <c r="C284" s="2"/>
      <c r="D284" s="2"/>
      <c r="E284" s="2"/>
    </row>
    <row r="285" spans="2:5">
      <c r="B285" s="2"/>
      <c r="C285" s="2"/>
      <c r="D285" s="2"/>
      <c r="E285" s="2"/>
    </row>
    <row r="286" spans="2:5">
      <c r="B286" s="2"/>
      <c r="C286" s="2"/>
      <c r="D286" s="2"/>
      <c r="E286" s="2"/>
    </row>
    <row r="287" spans="2:5">
      <c r="B287" s="2"/>
      <c r="C287" s="2"/>
      <c r="D287" s="2"/>
      <c r="E287" s="2"/>
    </row>
    <row r="288" spans="2:5">
      <c r="B288" s="2"/>
      <c r="C288" s="2"/>
      <c r="D288" s="2"/>
      <c r="E288" s="2"/>
    </row>
    <row r="289" spans="2:5">
      <c r="B289" s="2"/>
      <c r="C289" s="2"/>
      <c r="D289" s="2"/>
      <c r="E289" s="2"/>
    </row>
    <row r="290" spans="2:5">
      <c r="B290" s="2"/>
      <c r="C290" s="2"/>
      <c r="D290" s="2"/>
      <c r="E290" s="2"/>
    </row>
    <row r="291" spans="2:5">
      <c r="B291" s="2"/>
      <c r="C291" s="2"/>
      <c r="D291" s="2"/>
      <c r="E291" s="2"/>
    </row>
    <row r="292" spans="2:5">
      <c r="B292" s="2"/>
      <c r="C292" s="2"/>
      <c r="D292" s="2"/>
      <c r="E292" s="2"/>
    </row>
    <row r="293" spans="2:5">
      <c r="B293" s="2"/>
      <c r="C293" s="2"/>
      <c r="D293" s="2"/>
      <c r="E293" s="2"/>
    </row>
    <row r="294" spans="2:5">
      <c r="B294" s="2"/>
      <c r="C294" s="2"/>
      <c r="D294" s="2"/>
      <c r="E294" s="2"/>
    </row>
    <row r="295" spans="2:5">
      <c r="B295" s="2"/>
      <c r="C295" s="2"/>
      <c r="D295" s="2"/>
      <c r="E295" s="2"/>
    </row>
    <row r="296" spans="2:5">
      <c r="B296" s="2"/>
      <c r="C296" s="2"/>
      <c r="D296" s="2"/>
      <c r="E296" s="2"/>
    </row>
    <row r="297" spans="2:5">
      <c r="B297" s="2"/>
      <c r="C297" s="2"/>
      <c r="D297" s="2"/>
      <c r="E297" s="2"/>
    </row>
    <row r="298" spans="2:5">
      <c r="B298" s="2"/>
      <c r="C298" s="2"/>
      <c r="D298" s="2"/>
      <c r="E298" s="2"/>
    </row>
    <row r="299" spans="2:5">
      <c r="B299" s="2"/>
      <c r="C299" s="2"/>
      <c r="D299" s="2"/>
      <c r="E299" s="2"/>
    </row>
    <row r="300" spans="2:5">
      <c r="B300" s="2"/>
      <c r="C300" s="2"/>
      <c r="D300" s="2"/>
      <c r="E300" s="2"/>
    </row>
    <row r="301" spans="2:5">
      <c r="B301" s="2"/>
      <c r="C301" s="2"/>
      <c r="D301" s="2"/>
      <c r="E301" s="2"/>
    </row>
    <row r="302" spans="2:5">
      <c r="B302" s="2"/>
      <c r="C302" s="2"/>
      <c r="D302" s="2"/>
      <c r="E302" s="2"/>
    </row>
    <row r="303" spans="2:5">
      <c r="B303" s="2"/>
      <c r="C303" s="2"/>
      <c r="D303" s="2"/>
      <c r="E303" s="2"/>
    </row>
    <row r="304" spans="2:5">
      <c r="B304" s="2"/>
      <c r="C304" s="2"/>
      <c r="D304" s="2"/>
      <c r="E304" s="2"/>
    </row>
    <row r="305" spans="2:5">
      <c r="B305" s="2"/>
      <c r="C305" s="2"/>
      <c r="D305" s="2"/>
      <c r="E305" s="2"/>
    </row>
    <row r="306" spans="2:5">
      <c r="B306" s="2"/>
      <c r="C306" s="2"/>
      <c r="D306" s="2"/>
      <c r="E306" s="2"/>
    </row>
    <row r="307" spans="2:5">
      <c r="B307" s="2"/>
      <c r="C307" s="2"/>
      <c r="D307" s="2"/>
      <c r="E307" s="2"/>
    </row>
    <row r="308" spans="2:5">
      <c r="B308" s="2"/>
      <c r="C308" s="2"/>
      <c r="D308" s="2"/>
      <c r="E308" s="2"/>
    </row>
    <row r="309" spans="2:5">
      <c r="B309" s="2"/>
      <c r="C309" s="2"/>
      <c r="D309" s="2"/>
      <c r="E309" s="2"/>
    </row>
    <row r="310" spans="2:5">
      <c r="B310" s="2"/>
      <c r="C310" s="2"/>
      <c r="D310" s="2"/>
      <c r="E310" s="2"/>
    </row>
    <row r="311" spans="2:5">
      <c r="B311" s="2"/>
      <c r="C311" s="2"/>
      <c r="D311" s="2"/>
      <c r="E311" s="2"/>
    </row>
    <row r="312" spans="2:5">
      <c r="B312" s="2"/>
      <c r="C312" s="2"/>
      <c r="D312" s="2"/>
      <c r="E312" s="2"/>
    </row>
    <row r="313" spans="2:5">
      <c r="B313" s="2"/>
      <c r="C313" s="2"/>
      <c r="D313" s="2"/>
      <c r="E313" s="2"/>
    </row>
    <row r="314" spans="2:5">
      <c r="B314" s="2"/>
      <c r="C314" s="2"/>
      <c r="D314" s="2"/>
      <c r="E314" s="2"/>
    </row>
    <row r="315" spans="2:5">
      <c r="B315" s="2"/>
      <c r="C315" s="2"/>
      <c r="D315" s="2"/>
      <c r="E315" s="2"/>
    </row>
    <row r="316" spans="2:5">
      <c r="B316" s="2"/>
      <c r="C316" s="2"/>
      <c r="D316" s="2"/>
      <c r="E316" s="2"/>
    </row>
    <row r="317" spans="2:5">
      <c r="B317" s="2"/>
      <c r="C317" s="2"/>
      <c r="D317" s="2"/>
      <c r="E317" s="2"/>
    </row>
    <row r="318" spans="2:5">
      <c r="B318" s="2"/>
      <c r="C318" s="2"/>
      <c r="D318" s="2"/>
      <c r="E318" s="2"/>
    </row>
    <row r="319" spans="2:5">
      <c r="B319" s="2"/>
      <c r="C319" s="2"/>
      <c r="D319" s="2"/>
      <c r="E319" s="2"/>
    </row>
    <row r="320" spans="2:5">
      <c r="B320" s="2"/>
      <c r="C320" s="2"/>
      <c r="D320" s="2"/>
      <c r="E320" s="2"/>
    </row>
    <row r="321" spans="2:5">
      <c r="B321" s="2"/>
      <c r="C321" s="2"/>
      <c r="D321" s="2"/>
      <c r="E321" s="2"/>
    </row>
    <row r="322" spans="2:5">
      <c r="B322" s="2"/>
      <c r="C322" s="2"/>
      <c r="D322" s="2"/>
      <c r="E322" s="2"/>
    </row>
    <row r="323" spans="2:5">
      <c r="B323" s="2"/>
      <c r="C323" s="2"/>
      <c r="D323" s="2"/>
      <c r="E323" s="2"/>
    </row>
    <row r="324" spans="2:5">
      <c r="B324" s="2"/>
      <c r="C324" s="2"/>
      <c r="D324" s="2"/>
      <c r="E324" s="2"/>
    </row>
    <row r="325" spans="2:5">
      <c r="B325" s="2"/>
      <c r="C325" s="2"/>
      <c r="D325" s="2"/>
      <c r="E325" s="2"/>
    </row>
    <row r="326" spans="2:5">
      <c r="B326" s="2"/>
      <c r="C326" s="2"/>
      <c r="D326" s="2"/>
      <c r="E326" s="2"/>
    </row>
    <row r="327" spans="2:5">
      <c r="B327" s="2"/>
      <c r="C327" s="2"/>
      <c r="D327" s="2"/>
      <c r="E327" s="2"/>
    </row>
    <row r="328" spans="2:5">
      <c r="B328" s="2"/>
      <c r="C328" s="2"/>
      <c r="D328" s="2"/>
      <c r="E328" s="2"/>
    </row>
    <row r="329" spans="2:5">
      <c r="B329" s="2"/>
      <c r="C329" s="2"/>
      <c r="D329" s="2"/>
      <c r="E329" s="2"/>
    </row>
    <row r="330" spans="2:5">
      <c r="B330" s="2"/>
      <c r="C330" s="2"/>
      <c r="D330" s="2"/>
      <c r="E330" s="2"/>
    </row>
    <row r="331" spans="2:5">
      <c r="B331" s="2"/>
      <c r="C331" s="2"/>
      <c r="D331" s="2"/>
      <c r="E331" s="2"/>
    </row>
    <row r="332" spans="2:5">
      <c r="B332" s="2"/>
      <c r="C332" s="2"/>
      <c r="D332" s="2"/>
      <c r="E332" s="2"/>
    </row>
    <row r="333" spans="2:5">
      <c r="B333" s="2"/>
      <c r="C333" s="2"/>
      <c r="D333" s="2"/>
      <c r="E333" s="2"/>
    </row>
    <row r="334" spans="2:5">
      <c r="B334" s="2"/>
      <c r="C334" s="2"/>
      <c r="D334" s="2"/>
      <c r="E334" s="2"/>
    </row>
    <row r="335" spans="2:5">
      <c r="B335" s="2"/>
      <c r="C335" s="2"/>
      <c r="D335" s="2"/>
      <c r="E335" s="2"/>
    </row>
    <row r="336" spans="2:5">
      <c r="B336" s="2"/>
      <c r="C336" s="2"/>
      <c r="D336" s="2"/>
      <c r="E336" s="2"/>
    </row>
    <row r="337" spans="2:5">
      <c r="B337" s="2"/>
      <c r="C337" s="2"/>
      <c r="D337" s="2"/>
      <c r="E337" s="2"/>
    </row>
    <row r="338" spans="2:5">
      <c r="B338" s="2"/>
      <c r="C338" s="2"/>
      <c r="D338" s="2"/>
      <c r="E338" s="2"/>
    </row>
    <row r="339" spans="2:5">
      <c r="B339" s="2"/>
      <c r="C339" s="2"/>
      <c r="D339" s="2"/>
      <c r="E339" s="2"/>
    </row>
    <row r="340" spans="2:5">
      <c r="B340" s="2"/>
      <c r="C340" s="2"/>
      <c r="D340" s="2"/>
      <c r="E340" s="2"/>
    </row>
    <row r="341" spans="2:5">
      <c r="B341" s="2"/>
      <c r="C341" s="2"/>
      <c r="D341" s="2"/>
      <c r="E341" s="2"/>
    </row>
    <row r="342" spans="2:5">
      <c r="B342" s="2"/>
      <c r="C342" s="2"/>
      <c r="D342" s="2"/>
      <c r="E342" s="2"/>
    </row>
    <row r="343" spans="2:5">
      <c r="B343" s="2"/>
      <c r="C343" s="2"/>
      <c r="D343" s="2"/>
      <c r="E343" s="2"/>
    </row>
    <row r="344" spans="2:5">
      <c r="B344" s="2"/>
      <c r="C344" s="2"/>
      <c r="D344" s="2"/>
      <c r="E344" s="2"/>
    </row>
    <row r="345" spans="2:5">
      <c r="B345" s="2"/>
      <c r="C345" s="2"/>
      <c r="D345" s="2"/>
      <c r="E345" s="2"/>
    </row>
    <row r="346" spans="2:5">
      <c r="B346" s="2"/>
      <c r="C346" s="2"/>
      <c r="D346" s="2"/>
      <c r="E346" s="2"/>
    </row>
    <row r="347" spans="2:5">
      <c r="B347" s="2"/>
      <c r="C347" s="2"/>
      <c r="D347" s="2"/>
      <c r="E347" s="2"/>
    </row>
    <row r="348" spans="2:5">
      <c r="B348" s="2"/>
      <c r="C348" s="2"/>
      <c r="D348" s="2"/>
      <c r="E348" s="2"/>
    </row>
    <row r="349" spans="2:5">
      <c r="B349" s="2"/>
      <c r="C349" s="2"/>
      <c r="D349" s="2"/>
      <c r="E349" s="2"/>
    </row>
    <row r="350" spans="2:5">
      <c r="B350" s="2"/>
      <c r="C350" s="2"/>
      <c r="D350" s="2"/>
      <c r="E350" s="2"/>
    </row>
    <row r="351" spans="2:5">
      <c r="B351" s="2"/>
      <c r="C351" s="2"/>
      <c r="D351" s="2"/>
      <c r="E351" s="2"/>
    </row>
    <row r="352" spans="2:5">
      <c r="B352" s="2"/>
      <c r="C352" s="2"/>
      <c r="D352" s="2"/>
      <c r="E352" s="2"/>
    </row>
    <row r="353" spans="2:5">
      <c r="B353" s="2"/>
      <c r="C353" s="2"/>
      <c r="D353" s="2"/>
      <c r="E353" s="2"/>
    </row>
    <row r="354" spans="2:5">
      <c r="B354" s="2"/>
      <c r="C354" s="2"/>
      <c r="D354" s="2"/>
      <c r="E354" s="2"/>
    </row>
    <row r="355" spans="2:5">
      <c r="B355" s="2"/>
      <c r="C355" s="2"/>
      <c r="D355" s="2"/>
      <c r="E355" s="2"/>
    </row>
    <row r="356" spans="2:5">
      <c r="B356" s="2"/>
      <c r="C356" s="2"/>
      <c r="D356" s="2"/>
      <c r="E356" s="2"/>
    </row>
    <row r="357" spans="2:5">
      <c r="B357" s="2"/>
      <c r="C357" s="2"/>
      <c r="D357" s="2"/>
      <c r="E357" s="2"/>
    </row>
    <row r="358" spans="2:5">
      <c r="B358" s="2"/>
      <c r="C358" s="2"/>
      <c r="D358" s="2"/>
      <c r="E358" s="2"/>
    </row>
    <row r="359" spans="2:5">
      <c r="B359" s="2"/>
      <c r="C359" s="2"/>
      <c r="D359" s="2"/>
      <c r="E359" s="2"/>
    </row>
    <row r="360" spans="2:5">
      <c r="B360" s="2"/>
      <c r="C360" s="2"/>
      <c r="D360" s="2"/>
      <c r="E360" s="2"/>
    </row>
    <row r="361" spans="2:5">
      <c r="B361" s="2"/>
      <c r="C361" s="2"/>
      <c r="D361" s="2"/>
      <c r="E361" s="2"/>
    </row>
    <row r="362" spans="2:5">
      <c r="B362" s="2"/>
      <c r="C362" s="2"/>
      <c r="D362" s="2"/>
      <c r="E362" s="2"/>
    </row>
    <row r="363" spans="2:5">
      <c r="B363" s="2"/>
      <c r="C363" s="2"/>
      <c r="D363" s="2"/>
      <c r="E363" s="2"/>
    </row>
    <row r="364" spans="2:5">
      <c r="B364" s="2"/>
      <c r="C364" s="2"/>
      <c r="D364" s="2"/>
      <c r="E364" s="2"/>
    </row>
    <row r="365" spans="2:5">
      <c r="B365" s="2"/>
      <c r="C365" s="2"/>
      <c r="D365" s="2"/>
      <c r="E365" s="2"/>
    </row>
    <row r="366" spans="2:5">
      <c r="B366" s="2"/>
      <c r="C366" s="2"/>
      <c r="D366" s="2"/>
      <c r="E366" s="2"/>
    </row>
    <row r="367" spans="2:5">
      <c r="B367" s="2"/>
      <c r="C367" s="2"/>
      <c r="D367" s="2"/>
      <c r="E367" s="2"/>
    </row>
    <row r="368" spans="2:5">
      <c r="B368" s="2"/>
      <c r="C368" s="2"/>
      <c r="D368" s="2"/>
      <c r="E368" s="2"/>
    </row>
    <row r="369" spans="2:5">
      <c r="B369" s="2"/>
      <c r="C369" s="2"/>
      <c r="D369" s="2"/>
      <c r="E369" s="2"/>
    </row>
    <row r="370" spans="2:5">
      <c r="B370" s="2"/>
      <c r="C370" s="2"/>
      <c r="D370" s="2"/>
      <c r="E370" s="2"/>
    </row>
    <row r="371" spans="2:5">
      <c r="B371" s="2"/>
      <c r="C371" s="2"/>
      <c r="D371" s="2"/>
      <c r="E371" s="2"/>
    </row>
    <row r="372" spans="2:5">
      <c r="B372" s="2"/>
      <c r="C372" s="2"/>
      <c r="D372" s="2"/>
      <c r="E372" s="2"/>
    </row>
    <row r="373" spans="2:5">
      <c r="B373" s="2"/>
      <c r="C373" s="2"/>
      <c r="D373" s="2"/>
      <c r="E373" s="2"/>
    </row>
    <row r="374" spans="2:5">
      <c r="B374" s="2"/>
      <c r="C374" s="2"/>
      <c r="D374" s="2"/>
      <c r="E374" s="2"/>
    </row>
    <row r="375" spans="2:5">
      <c r="B375" s="2"/>
      <c r="C375" s="2"/>
      <c r="D375" s="2"/>
      <c r="E375" s="2"/>
    </row>
    <row r="376" spans="2:5">
      <c r="B376" s="2"/>
      <c r="C376" s="2"/>
      <c r="D376" s="2"/>
      <c r="E376" s="2"/>
    </row>
    <row r="377" spans="2:5">
      <c r="B377" s="2"/>
      <c r="C377" s="2"/>
      <c r="D377" s="2"/>
      <c r="E377" s="2"/>
    </row>
    <row r="378" spans="2:5">
      <c r="B378" s="2"/>
      <c r="C378" s="2"/>
      <c r="D378" s="2"/>
      <c r="E378" s="2"/>
    </row>
    <row r="379" spans="2:5">
      <c r="B379" s="2"/>
      <c r="C379" s="2"/>
      <c r="D379" s="2"/>
      <c r="E379" s="2"/>
    </row>
    <row r="380" spans="2:5">
      <c r="B380" s="2"/>
      <c r="C380" s="2"/>
      <c r="D380" s="2"/>
      <c r="E380" s="2"/>
    </row>
    <row r="381" spans="2:5">
      <c r="B381" s="2"/>
      <c r="C381" s="2"/>
      <c r="D381" s="2"/>
      <c r="E381" s="2"/>
    </row>
    <row r="382" spans="2:5">
      <c r="B382" s="2"/>
      <c r="C382" s="2"/>
      <c r="D382" s="2"/>
      <c r="E382" s="2"/>
    </row>
    <row r="383" spans="2:5">
      <c r="B383" s="2"/>
      <c r="C383" s="2"/>
      <c r="D383" s="2"/>
      <c r="E383" s="2"/>
    </row>
    <row r="384" spans="2:5">
      <c r="B384" s="2"/>
      <c r="C384" s="2"/>
      <c r="D384" s="2"/>
      <c r="E384" s="2"/>
    </row>
    <row r="385" spans="2:5">
      <c r="B385" s="2"/>
      <c r="C385" s="2"/>
      <c r="D385" s="2"/>
      <c r="E385" s="2"/>
    </row>
    <row r="386" spans="2:5">
      <c r="B386" s="2"/>
      <c r="C386" s="2"/>
      <c r="D386" s="2"/>
      <c r="E386" s="2"/>
    </row>
    <row r="387" spans="2:5">
      <c r="B387" s="2"/>
      <c r="C387" s="2"/>
      <c r="D387" s="2"/>
      <c r="E387" s="2"/>
    </row>
    <row r="388" spans="2:5">
      <c r="B388" s="2"/>
      <c r="C388" s="2"/>
      <c r="D388" s="2"/>
      <c r="E388" s="2"/>
    </row>
    <row r="389" spans="2:5">
      <c r="B389" s="2"/>
      <c r="C389" s="2"/>
      <c r="D389" s="2"/>
      <c r="E389" s="2"/>
    </row>
    <row r="390" spans="2:5">
      <c r="B390" s="2"/>
      <c r="C390" s="2"/>
      <c r="D390" s="2"/>
      <c r="E390" s="2"/>
    </row>
    <row r="391" spans="2:5">
      <c r="B391" s="2"/>
      <c r="C391" s="2"/>
      <c r="D391" s="2"/>
      <c r="E391" s="2"/>
    </row>
    <row r="392" spans="2:5">
      <c r="B392" s="2"/>
      <c r="C392" s="2"/>
      <c r="D392" s="2"/>
      <c r="E392" s="2"/>
    </row>
    <row r="393" spans="2:5">
      <c r="B393" s="2"/>
      <c r="C393" s="2"/>
      <c r="D393" s="2"/>
      <c r="E393" s="2"/>
    </row>
    <row r="394" spans="2:5">
      <c r="B394" s="2"/>
      <c r="C394" s="2"/>
      <c r="D394" s="2"/>
      <c r="E394" s="2"/>
    </row>
    <row r="395" spans="2:5">
      <c r="B395" s="2"/>
      <c r="C395" s="2"/>
      <c r="D395" s="2"/>
      <c r="E395" s="2"/>
    </row>
    <row r="396" spans="2:5">
      <c r="B396" s="2"/>
      <c r="C396" s="2"/>
      <c r="D396" s="2"/>
      <c r="E396" s="2"/>
    </row>
    <row r="397" spans="2:5">
      <c r="B397" s="2"/>
      <c r="C397" s="2"/>
      <c r="D397" s="2"/>
      <c r="E397" s="2"/>
    </row>
    <row r="398" spans="2:5">
      <c r="B398" s="2"/>
      <c r="C398" s="2"/>
      <c r="D398" s="2"/>
      <c r="E398" s="2"/>
    </row>
    <row r="399" spans="2:5">
      <c r="B399" s="2"/>
      <c r="C399" s="2"/>
      <c r="D399" s="2"/>
      <c r="E399" s="2"/>
    </row>
    <row r="400" spans="2:5">
      <c r="B400" s="2"/>
      <c r="C400" s="2"/>
      <c r="D400" s="2"/>
      <c r="E400" s="2"/>
    </row>
    <row r="401" spans="2:5">
      <c r="B401" s="2"/>
      <c r="C401" s="2"/>
      <c r="D401" s="2"/>
      <c r="E401" s="2"/>
    </row>
    <row r="402" spans="2:5">
      <c r="B402" s="2"/>
      <c r="C402" s="2"/>
      <c r="D402" s="2"/>
      <c r="E402" s="2"/>
    </row>
    <row r="403" spans="2:5">
      <c r="B403" s="2"/>
      <c r="C403" s="2"/>
      <c r="D403" s="2"/>
      <c r="E403" s="2"/>
    </row>
    <row r="404" spans="2:5">
      <c r="B404" s="2"/>
      <c r="C404" s="2"/>
      <c r="D404" s="2"/>
      <c r="E404" s="2"/>
    </row>
    <row r="405" spans="2:5">
      <c r="B405" s="2"/>
      <c r="C405" s="2"/>
      <c r="D405" s="2"/>
      <c r="E405" s="2"/>
    </row>
    <row r="406" spans="2:5">
      <c r="B406" s="2"/>
      <c r="C406" s="2"/>
      <c r="D406" s="2"/>
      <c r="E406" s="2"/>
    </row>
    <row r="407" spans="2:5">
      <c r="B407" s="2"/>
      <c r="C407" s="2"/>
      <c r="D407" s="2"/>
      <c r="E407" s="2"/>
    </row>
    <row r="408" spans="2:5">
      <c r="B408" s="2"/>
      <c r="C408" s="2"/>
      <c r="D408" s="2"/>
      <c r="E408" s="2"/>
    </row>
    <row r="409" spans="2:5">
      <c r="B409" s="2"/>
      <c r="C409" s="2"/>
      <c r="D409" s="2"/>
      <c r="E409" s="2"/>
    </row>
    <row r="410" spans="2:5">
      <c r="B410" s="2"/>
      <c r="C410" s="2"/>
      <c r="D410" s="2"/>
      <c r="E410" s="2"/>
    </row>
    <row r="411" spans="2:5">
      <c r="B411" s="2"/>
      <c r="C411" s="2"/>
      <c r="D411" s="2"/>
      <c r="E411" s="2"/>
    </row>
    <row r="412" spans="2:5">
      <c r="B412" s="2"/>
      <c r="C412" s="2"/>
      <c r="D412" s="2"/>
      <c r="E412" s="2"/>
    </row>
    <row r="413" spans="2:5">
      <c r="B413" s="2"/>
      <c r="C413" s="2"/>
      <c r="D413" s="2"/>
      <c r="E413" s="2"/>
    </row>
    <row r="414" spans="2:5">
      <c r="B414" s="2"/>
      <c r="C414" s="2"/>
      <c r="D414" s="2"/>
      <c r="E414" s="2"/>
    </row>
    <row r="415" spans="2:5">
      <c r="B415" s="2"/>
      <c r="C415" s="2"/>
      <c r="D415" s="2"/>
      <c r="E415" s="2"/>
    </row>
    <row r="416" spans="2:5">
      <c r="B416" s="2"/>
      <c r="C416" s="2"/>
      <c r="D416" s="2"/>
      <c r="E416" s="2"/>
    </row>
    <row r="417" spans="2:5">
      <c r="B417" s="2"/>
      <c r="C417" s="2"/>
      <c r="D417" s="2"/>
      <c r="E417" s="2"/>
    </row>
    <row r="418" spans="2:5">
      <c r="B418" s="2"/>
      <c r="C418" s="2"/>
      <c r="D418" s="2"/>
      <c r="E418" s="2"/>
    </row>
    <row r="419" spans="2:5">
      <c r="B419" s="2"/>
      <c r="C419" s="2"/>
      <c r="D419" s="2"/>
      <c r="E419" s="2"/>
    </row>
    <row r="420" spans="2:5">
      <c r="B420" s="2"/>
      <c r="C420" s="2"/>
      <c r="D420" s="2"/>
      <c r="E420" s="2"/>
    </row>
    <row r="421" spans="2:5">
      <c r="B421" s="2"/>
      <c r="C421" s="2"/>
      <c r="D421" s="2"/>
      <c r="E421" s="2"/>
    </row>
    <row r="422" spans="2:5">
      <c r="B422" s="2"/>
      <c r="C422" s="2"/>
      <c r="D422" s="2"/>
      <c r="E422" s="2"/>
    </row>
    <row r="423" spans="2:5">
      <c r="B423" s="2"/>
      <c r="C423" s="2"/>
      <c r="D423" s="2"/>
      <c r="E423" s="2"/>
    </row>
    <row r="424" spans="2:5">
      <c r="B424" s="2"/>
      <c r="C424" s="2"/>
      <c r="D424" s="2"/>
      <c r="E424" s="2"/>
    </row>
    <row r="425" spans="2:5">
      <c r="B425" s="2"/>
      <c r="C425" s="2"/>
      <c r="D425" s="2"/>
      <c r="E425" s="2"/>
    </row>
    <row r="426" spans="2:5">
      <c r="B426" s="2"/>
      <c r="C426" s="2"/>
      <c r="D426" s="2"/>
      <c r="E426" s="2"/>
    </row>
    <row r="427" spans="2:5">
      <c r="B427" s="2"/>
      <c r="C427" s="2"/>
      <c r="D427" s="2"/>
      <c r="E427" s="2"/>
    </row>
    <row r="428" spans="2:5">
      <c r="B428" s="2"/>
      <c r="C428" s="2"/>
      <c r="D428" s="2"/>
      <c r="E428" s="2"/>
    </row>
    <row r="429" spans="2:5">
      <c r="B429" s="2"/>
      <c r="C429" s="2"/>
      <c r="D429" s="2"/>
      <c r="E429" s="2"/>
    </row>
    <row r="430" spans="2:5">
      <c r="B430" s="2"/>
      <c r="C430" s="2"/>
      <c r="D430" s="2"/>
      <c r="E430" s="2"/>
    </row>
  </sheetData>
  <mergeCells count="16">
    <mergeCell ref="X1:Z1"/>
    <mergeCell ref="F1:G1"/>
    <mergeCell ref="AA1:AC1"/>
    <mergeCell ref="H1:H2"/>
    <mergeCell ref="E1:E2"/>
    <mergeCell ref="L1:N1"/>
    <mergeCell ref="R1:T1"/>
    <mergeCell ref="U1:W1"/>
    <mergeCell ref="O1:Q1"/>
    <mergeCell ref="K1:K2"/>
    <mergeCell ref="A1:A2"/>
    <mergeCell ref="B1:B2"/>
    <mergeCell ref="I1:I2"/>
    <mergeCell ref="J1:J2"/>
    <mergeCell ref="C1:C2"/>
    <mergeCell ref="D1:D2"/>
  </mergeCells>
  <pageMargins left="0.25" right="0.25" top="0.75" bottom="0.75" header="0.3" footer="0.3"/>
  <pageSetup paperSize="9" scale="26" fitToHeight="0"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W11"/>
  <sheetViews>
    <sheetView showGridLines="0" tabSelected="1" zoomScale="85" zoomScaleNormal="85" workbookViewId="0">
      <pane ySplit="5" topLeftCell="A6" activePane="bottomLeft" state="frozen"/>
      <selection pane="bottomLeft" activeCell="D7" sqref="D7"/>
    </sheetView>
  </sheetViews>
  <sheetFormatPr defaultColWidth="11.42578125" defaultRowHeight="12.75"/>
  <cols>
    <col min="1" max="1" width="4.28515625" style="273" customWidth="1"/>
    <col min="2" max="2" width="30.5703125" style="273" customWidth="1"/>
    <col min="3" max="3" width="12.28515625" style="273" customWidth="1"/>
    <col min="4" max="4" width="20" style="273" customWidth="1"/>
    <col min="5" max="5" width="11.42578125" style="273"/>
    <col min="6" max="6" width="6.28515625" style="273" customWidth="1"/>
    <col min="7" max="7" width="7.7109375" style="273" customWidth="1"/>
    <col min="8" max="8" width="14.28515625" style="273" customWidth="1"/>
    <col min="9" max="9" width="37" style="273" bestFit="1" customWidth="1"/>
    <col min="10" max="10" width="11.42578125" style="273"/>
    <col min="11" max="11" width="21.7109375" style="273" customWidth="1"/>
    <col min="12" max="13" width="18.7109375" style="273" customWidth="1"/>
    <col min="14" max="15" width="28.42578125" style="273" customWidth="1"/>
    <col min="16" max="16" width="16.5703125" style="273" customWidth="1"/>
    <col min="17" max="17" width="28.7109375" style="273" customWidth="1"/>
    <col min="18" max="19" width="24.42578125" style="273" customWidth="1"/>
    <col min="20" max="20" width="25.140625" style="273" customWidth="1"/>
    <col min="21" max="21" width="8.28515625" style="273" customWidth="1"/>
    <col min="22" max="22" width="61" style="273" customWidth="1"/>
    <col min="23" max="25" width="17.85546875" style="273" customWidth="1"/>
    <col min="26" max="27" width="23.7109375" style="273" customWidth="1"/>
    <col min="28" max="28" width="18.7109375" style="273" customWidth="1"/>
    <col min="29" max="29" width="63.28515625" style="273" customWidth="1"/>
    <col min="30" max="30" width="54" style="273" customWidth="1"/>
    <col min="31" max="33" width="18.7109375" style="273" customWidth="1"/>
    <col min="34" max="34" width="31" style="273" customWidth="1"/>
    <col min="35" max="37" width="18.7109375" style="273" customWidth="1"/>
    <col min="38" max="38" width="17" style="273" customWidth="1"/>
    <col min="39" max="43" width="31" style="273" customWidth="1"/>
    <col min="44" max="44" width="57.85546875" style="273" customWidth="1"/>
    <col min="45" max="45" width="47" style="273" customWidth="1"/>
    <col min="46" max="46" width="35" style="273" customWidth="1"/>
    <col min="47" max="47" width="20.85546875" style="273" customWidth="1"/>
    <col min="48" max="48" width="14.5703125" style="273" customWidth="1"/>
    <col min="49" max="49" width="144.28515625" style="273" customWidth="1"/>
    <col min="50" max="16384" width="11.42578125" style="273"/>
  </cols>
  <sheetData>
    <row r="2" spans="1:49">
      <c r="C2" s="275"/>
      <c r="D2" s="275"/>
      <c r="E2" s="273" t="s">
        <v>1501</v>
      </c>
    </row>
    <row r="4" spans="1:49" ht="21.75" customHeight="1">
      <c r="A4" s="323"/>
      <c r="B4" s="323" t="s">
        <v>1514</v>
      </c>
      <c r="C4" s="323" t="s">
        <v>1494</v>
      </c>
      <c r="D4" s="326" t="s">
        <v>74</v>
      </c>
      <c r="E4" s="323" t="s">
        <v>1515</v>
      </c>
      <c r="F4" s="323" t="s">
        <v>1505</v>
      </c>
      <c r="G4" s="324" t="s">
        <v>75</v>
      </c>
      <c r="H4" s="323" t="s">
        <v>195</v>
      </c>
      <c r="I4" s="323" t="s">
        <v>1491</v>
      </c>
      <c r="J4" s="323" t="s">
        <v>1488</v>
      </c>
      <c r="K4" s="323" t="s">
        <v>1498</v>
      </c>
      <c r="L4" s="323" t="s">
        <v>1492</v>
      </c>
      <c r="M4" s="323" t="s">
        <v>2631</v>
      </c>
      <c r="N4" s="323" t="s">
        <v>1482</v>
      </c>
      <c r="O4" s="323" t="s">
        <v>2632</v>
      </c>
      <c r="P4" s="323" t="s">
        <v>2634</v>
      </c>
      <c r="Q4" s="323" t="s">
        <v>1512</v>
      </c>
      <c r="R4" s="323" t="s">
        <v>1513</v>
      </c>
      <c r="S4" s="323" t="s">
        <v>2633</v>
      </c>
      <c r="T4" s="323" t="s">
        <v>2595</v>
      </c>
      <c r="U4" s="323" t="s">
        <v>1517</v>
      </c>
      <c r="V4" s="323" t="s">
        <v>2596</v>
      </c>
      <c r="W4" s="323" t="s">
        <v>1518</v>
      </c>
      <c r="X4" s="323" t="s">
        <v>1483</v>
      </c>
      <c r="Y4" s="323" t="s">
        <v>1493</v>
      </c>
      <c r="Z4" s="323" t="s">
        <v>1484</v>
      </c>
      <c r="AA4" s="323" t="s">
        <v>1519</v>
      </c>
      <c r="AB4" s="323" t="s">
        <v>1497</v>
      </c>
      <c r="AC4" s="323" t="s">
        <v>1502</v>
      </c>
      <c r="AD4" s="323" t="s">
        <v>1495</v>
      </c>
      <c r="AE4" s="323" t="s">
        <v>1496</v>
      </c>
      <c r="AF4" s="323" t="s">
        <v>1520</v>
      </c>
      <c r="AG4" s="323" t="s">
        <v>1485</v>
      </c>
      <c r="AH4" s="323" t="s">
        <v>1486</v>
      </c>
      <c r="AI4" s="323" t="s">
        <v>1499</v>
      </c>
      <c r="AJ4" s="323" t="s">
        <v>1500</v>
      </c>
      <c r="AK4" s="323" t="s">
        <v>1487</v>
      </c>
      <c r="AL4" s="323" t="s">
        <v>1508</v>
      </c>
      <c r="AM4" s="323" t="s">
        <v>1509</v>
      </c>
      <c r="AN4" s="323" t="s">
        <v>1506</v>
      </c>
      <c r="AO4" s="323" t="s">
        <v>1507</v>
      </c>
      <c r="AP4" s="323" t="s">
        <v>1521</v>
      </c>
      <c r="AQ4" s="323" t="s">
        <v>1503</v>
      </c>
      <c r="AR4" s="323" t="s">
        <v>1510</v>
      </c>
      <c r="AS4" s="323" t="s">
        <v>1504</v>
      </c>
      <c r="AT4" s="323" t="s">
        <v>1522</v>
      </c>
      <c r="AU4" s="323" t="s">
        <v>1511</v>
      </c>
      <c r="AV4" s="323" t="s">
        <v>1523</v>
      </c>
      <c r="AW4" s="323" t="s">
        <v>1524</v>
      </c>
    </row>
    <row r="5" spans="1:49" ht="27.75" customHeight="1">
      <c r="A5" s="324"/>
      <c r="B5" s="324"/>
      <c r="C5" s="324"/>
      <c r="D5" s="326"/>
      <c r="E5" s="324"/>
      <c r="F5" s="324"/>
      <c r="G5" s="325"/>
      <c r="H5" s="324"/>
      <c r="I5" s="324"/>
      <c r="J5" s="324"/>
      <c r="K5" s="324"/>
      <c r="L5" s="324"/>
      <c r="M5" s="324" t="s">
        <v>2630</v>
      </c>
      <c r="N5" s="324"/>
      <c r="O5" s="324" t="s">
        <v>2632</v>
      </c>
      <c r="P5" s="324" t="s">
        <v>1516</v>
      </c>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row>
    <row r="6" spans="1:49" s="295" customFormat="1" ht="321.75" customHeight="1">
      <c r="A6" s="289"/>
      <c r="B6" s="289" t="s">
        <v>2629</v>
      </c>
      <c r="C6" s="289" t="s">
        <v>2606</v>
      </c>
      <c r="D6" s="290"/>
      <c r="E6" s="289" t="s">
        <v>2597</v>
      </c>
      <c r="F6" s="291" t="s">
        <v>2561</v>
      </c>
      <c r="G6" s="291" t="s">
        <v>1526</v>
      </c>
      <c r="H6" s="292" t="s">
        <v>2607</v>
      </c>
      <c r="I6" s="289" t="s">
        <v>2609</v>
      </c>
      <c r="J6" s="289" t="s">
        <v>2598</v>
      </c>
      <c r="K6" s="292" t="s">
        <v>2608</v>
      </c>
      <c r="L6" s="292" t="s">
        <v>2619</v>
      </c>
      <c r="M6" s="292"/>
      <c r="N6" s="289" t="s">
        <v>2610</v>
      </c>
      <c r="O6" s="289"/>
      <c r="P6" s="289" t="s">
        <v>1058</v>
      </c>
      <c r="Q6" s="289" t="s">
        <v>2611</v>
      </c>
      <c r="R6" s="289" t="s">
        <v>2612</v>
      </c>
      <c r="S6" s="289"/>
      <c r="T6" s="291" t="s">
        <v>1489</v>
      </c>
      <c r="U6" s="289" t="s">
        <v>2599</v>
      </c>
      <c r="V6" s="289" t="s">
        <v>2620</v>
      </c>
      <c r="W6" s="289" t="s">
        <v>2602</v>
      </c>
      <c r="X6" s="294" t="s">
        <v>2602</v>
      </c>
      <c r="Y6" s="289" t="s">
        <v>2613</v>
      </c>
      <c r="Z6" s="289" t="s">
        <v>2621</v>
      </c>
      <c r="AA6" s="289" t="s">
        <v>2621</v>
      </c>
      <c r="AB6" s="289" t="s">
        <v>2622</v>
      </c>
      <c r="AC6" s="289" t="s">
        <v>2623</v>
      </c>
      <c r="AD6" s="289" t="s">
        <v>2614</v>
      </c>
      <c r="AE6" s="289" t="s">
        <v>2601</v>
      </c>
      <c r="AF6" s="289" t="s">
        <v>2601</v>
      </c>
      <c r="AG6" s="289" t="s">
        <v>2600</v>
      </c>
      <c r="AH6" s="289" t="s">
        <v>2615</v>
      </c>
      <c r="AI6" s="289" t="s">
        <v>2601</v>
      </c>
      <c r="AJ6" s="289" t="s">
        <v>2624</v>
      </c>
      <c r="AK6" s="289" t="s">
        <v>2602</v>
      </c>
      <c r="AL6" s="289" t="s">
        <v>2602</v>
      </c>
      <c r="AM6" s="289" t="s">
        <v>2625</v>
      </c>
      <c r="AN6" s="289" t="s">
        <v>2626</v>
      </c>
      <c r="AO6" s="289" t="s">
        <v>2603</v>
      </c>
      <c r="AP6" s="289" t="s">
        <v>2616</v>
      </c>
      <c r="AQ6" s="289" t="s">
        <v>2602</v>
      </c>
      <c r="AR6" s="289" t="s">
        <v>2627</v>
      </c>
      <c r="AS6" s="289" t="s">
        <v>2617</v>
      </c>
      <c r="AT6" s="289" t="s">
        <v>2618</v>
      </c>
      <c r="AU6" s="289" t="s">
        <v>2604</v>
      </c>
      <c r="AV6" s="289" t="s">
        <v>2605</v>
      </c>
      <c r="AW6" s="293" t="s">
        <v>2628</v>
      </c>
    </row>
    <row r="11" spans="1:49">
      <c r="G11" s="274"/>
      <c r="H11" s="274"/>
    </row>
  </sheetData>
  <autoFilter ref="A4:AW5"/>
  <mergeCells count="49">
    <mergeCell ref="AD4:AD5"/>
    <mergeCell ref="AI4:AI5"/>
    <mergeCell ref="Z4:Z5"/>
    <mergeCell ref="AC4:AC5"/>
    <mergeCell ref="N4:N5"/>
    <mergeCell ref="AE4:AE5"/>
    <mergeCell ref="AB4:AB5"/>
    <mergeCell ref="P4:P5"/>
    <mergeCell ref="U4:U5"/>
    <mergeCell ref="W4:W5"/>
    <mergeCell ref="AA4:AA5"/>
    <mergeCell ref="R4:R5"/>
    <mergeCell ref="Y4:Y5"/>
    <mergeCell ref="S4:S5"/>
    <mergeCell ref="AF4:AF5"/>
    <mergeCell ref="AG4:AG5"/>
    <mergeCell ref="A4:A5"/>
    <mergeCell ref="C4:C5"/>
    <mergeCell ref="K4:K5"/>
    <mergeCell ref="B4:B5"/>
    <mergeCell ref="D4:D5"/>
    <mergeCell ref="E4:E5"/>
    <mergeCell ref="J4:J5"/>
    <mergeCell ref="X4:X5"/>
    <mergeCell ref="F4:F5"/>
    <mergeCell ref="G4:G5"/>
    <mergeCell ref="H4:H5"/>
    <mergeCell ref="L4:L5"/>
    <mergeCell ref="T4:T5"/>
    <mergeCell ref="Q4:Q5"/>
    <mergeCell ref="V4:V5"/>
    <mergeCell ref="I4:I5"/>
    <mergeCell ref="M4:M5"/>
    <mergeCell ref="O4:O5"/>
    <mergeCell ref="AP4:AP5"/>
    <mergeCell ref="AH4:AH5"/>
    <mergeCell ref="AT4:AT5"/>
    <mergeCell ref="AM4:AM5"/>
    <mergeCell ref="AW4:AW5"/>
    <mergeCell ref="AV4:AV5"/>
    <mergeCell ref="AN4:AN5"/>
    <mergeCell ref="AQ4:AQ5"/>
    <mergeCell ref="AR4:AR5"/>
    <mergeCell ref="AS4:AS5"/>
    <mergeCell ref="AU4:AU5"/>
    <mergeCell ref="AO4:AO5"/>
    <mergeCell ref="AJ4:AJ5"/>
    <mergeCell ref="AK4:AK5"/>
    <mergeCell ref="AL4:AL5"/>
  </mergeCells>
  <pageMargins left="0.7" right="0.7" top="0.75" bottom="0.75" header="0.3" footer="0.3"/>
  <pageSetup paperSize="9" fitToWidth="0" orientation="landscape" r:id="rId1"/>
  <legacyDrawing r:id="rId2"/>
  <extLst>
    <ext xmlns:x14="http://schemas.microsoft.com/office/spreadsheetml/2009/9/main" uri="{CCE6A557-97BC-4b89-ADB6-D9C93CAAB3DF}">
      <x14:dataValidations xmlns:xm="http://schemas.microsoft.com/office/excel/2006/main" xWindow="317" yWindow="417" count="4">
        <x14:dataValidation type="list" allowBlank="1" showInputMessage="1" showErrorMessage="1" promptTitle="XXCenter" prompt="Validate the center name in Check Centers Tab">
          <x14:formula1>
            <xm:f>'Check Centers'!$C$2:$C$438</xm:f>
          </x14:formula1>
          <xm:sqref>D4:D1050</xm:sqref>
        </x14:dataValidation>
        <x14:dataValidation type="list" allowBlank="1" showInputMessage="1" showErrorMessage="1" promptTitle="XXCountry" prompt="Country ISO code, validate it Check Countries Tab">
          <x14:formula1>
            <xm:f>'Check Countries'!$A$2:$A$30</xm:f>
          </x14:formula1>
          <xm:sqref>F4:F1162</xm:sqref>
        </x14:dataValidation>
        <x14:dataValidation type="list" allowBlank="1" showInputMessage="1" showErrorMessage="1">
          <x14:formula1>
            <xm:f>'BU, Type of Rent'!$A$1:$A$10</xm:f>
          </x14:formula1>
          <xm:sqref>G4:G1018</xm:sqref>
        </x14:dataValidation>
        <x14:dataValidation type="list" allowBlank="1" showInputMessage="1" showErrorMessage="1">
          <x14:formula1>
            <xm:f>'BU, Type of Rent'!$C$11:$C$14</xm:f>
          </x14:formula1>
          <xm:sqref>T4:T1065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E29" sqref="E29"/>
    </sheetView>
  </sheetViews>
  <sheetFormatPr defaultColWidth="11.42578125" defaultRowHeight="15"/>
  <cols>
    <col min="1" max="1" width="16.28515625" customWidth="1"/>
    <col min="3" max="3" width="16.42578125" customWidth="1"/>
  </cols>
  <sheetData>
    <row r="1" spans="1:3">
      <c r="A1" s="276" t="s">
        <v>1525</v>
      </c>
      <c r="B1" s="276"/>
    </row>
    <row r="2" spans="1:3">
      <c r="A2" t="s">
        <v>1526</v>
      </c>
    </row>
    <row r="3" spans="1:3">
      <c r="A3" t="s">
        <v>1527</v>
      </c>
    </row>
    <row r="4" spans="1:3">
      <c r="A4" t="s">
        <v>1528</v>
      </c>
    </row>
    <row r="5" spans="1:3">
      <c r="A5" t="s">
        <v>1529</v>
      </c>
    </row>
    <row r="6" spans="1:3">
      <c r="A6" t="s">
        <v>1530</v>
      </c>
    </row>
    <row r="7" spans="1:3">
      <c r="A7" t="s">
        <v>1531</v>
      </c>
    </row>
    <row r="11" spans="1:3">
      <c r="C11" t="s">
        <v>1489</v>
      </c>
    </row>
    <row r="12" spans="1:3">
      <c r="C12" t="s">
        <v>1490</v>
      </c>
    </row>
    <row r="13" spans="1:3">
      <c r="C13" t="s">
        <v>284</v>
      </c>
    </row>
    <row r="14" spans="1:3">
      <c r="C14" t="s">
        <v>1336</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J34" sqref="J34"/>
    </sheetView>
  </sheetViews>
  <sheetFormatPr defaultColWidth="9.140625" defaultRowHeight="15"/>
  <cols>
    <col min="2" max="2" width="14.28515625" bestFit="1" customWidth="1"/>
  </cols>
  <sheetData>
    <row r="1" spans="1:2">
      <c r="A1" s="287" t="s">
        <v>2537</v>
      </c>
      <c r="B1" s="287" t="s">
        <v>2538</v>
      </c>
    </row>
    <row r="2" spans="1:2">
      <c r="A2" s="288" t="s">
        <v>2539</v>
      </c>
      <c r="B2" s="288" t="s">
        <v>2540</v>
      </c>
    </row>
    <row r="3" spans="1:2">
      <c r="A3" s="288" t="s">
        <v>2541</v>
      </c>
      <c r="B3" s="288" t="s">
        <v>2542</v>
      </c>
    </row>
    <row r="4" spans="1:2">
      <c r="A4" s="288" t="s">
        <v>2543</v>
      </c>
      <c r="B4" s="288" t="s">
        <v>2544</v>
      </c>
    </row>
    <row r="5" spans="1:2">
      <c r="A5" s="288" t="s">
        <v>2545</v>
      </c>
      <c r="B5" s="288" t="s">
        <v>2546</v>
      </c>
    </row>
    <row r="6" spans="1:2">
      <c r="A6" s="288" t="s">
        <v>2547</v>
      </c>
      <c r="B6" s="288" t="s">
        <v>2548</v>
      </c>
    </row>
    <row r="7" spans="1:2">
      <c r="A7" s="288" t="s">
        <v>2549</v>
      </c>
      <c r="B7" s="288" t="s">
        <v>2550</v>
      </c>
    </row>
    <row r="8" spans="1:2">
      <c r="A8" s="288" t="s">
        <v>2551</v>
      </c>
      <c r="B8" s="288" t="s">
        <v>2552</v>
      </c>
    </row>
    <row r="9" spans="1:2">
      <c r="A9" s="288" t="s">
        <v>2553</v>
      </c>
      <c r="B9" s="288" t="s">
        <v>2554</v>
      </c>
    </row>
    <row r="10" spans="1:2">
      <c r="A10" s="288" t="s">
        <v>2555</v>
      </c>
      <c r="B10" s="288" t="s">
        <v>2556</v>
      </c>
    </row>
    <row r="11" spans="1:2">
      <c r="A11" s="288" t="s">
        <v>2557</v>
      </c>
      <c r="B11" s="288" t="s">
        <v>2558</v>
      </c>
    </row>
    <row r="12" spans="1:2">
      <c r="A12" s="288" t="s">
        <v>2559</v>
      </c>
      <c r="B12" s="288" t="s">
        <v>2560</v>
      </c>
    </row>
    <row r="13" spans="1:2">
      <c r="A13" s="288" t="s">
        <v>2561</v>
      </c>
      <c r="B13" s="288" t="s">
        <v>1526</v>
      </c>
    </row>
    <row r="14" spans="1:2">
      <c r="A14" s="288" t="s">
        <v>2562</v>
      </c>
      <c r="B14" s="288" t="s">
        <v>2563</v>
      </c>
    </row>
    <row r="15" spans="1:2">
      <c r="A15" s="288" t="s">
        <v>2564</v>
      </c>
      <c r="B15" s="288" t="s">
        <v>2565</v>
      </c>
    </row>
    <row r="16" spans="1:2">
      <c r="A16" s="288" t="s">
        <v>2566</v>
      </c>
      <c r="B16" s="288" t="s">
        <v>2567</v>
      </c>
    </row>
    <row r="17" spans="1:2">
      <c r="A17" s="288" t="s">
        <v>2568</v>
      </c>
      <c r="B17" s="288" t="s">
        <v>2569</v>
      </c>
    </row>
    <row r="18" spans="1:2">
      <c r="A18" s="288" t="s">
        <v>2570</v>
      </c>
      <c r="B18" s="288" t="s">
        <v>1528</v>
      </c>
    </row>
    <row r="19" spans="1:2">
      <c r="A19" s="288" t="s">
        <v>2571</v>
      </c>
      <c r="B19" s="288" t="s">
        <v>2572</v>
      </c>
    </row>
    <row r="20" spans="1:2">
      <c r="A20" s="288" t="s">
        <v>2573</v>
      </c>
      <c r="B20" s="288" t="s">
        <v>2574</v>
      </c>
    </row>
    <row r="21" spans="1:2">
      <c r="A21" s="288" t="s">
        <v>2575</v>
      </c>
      <c r="B21" s="288" t="s">
        <v>2576</v>
      </c>
    </row>
    <row r="22" spans="1:2">
      <c r="A22" s="288" t="s">
        <v>2577</v>
      </c>
      <c r="B22" s="288" t="s">
        <v>2578</v>
      </c>
    </row>
    <row r="23" spans="1:2">
      <c r="A23" s="288" t="s">
        <v>2579</v>
      </c>
      <c r="B23" s="288" t="s">
        <v>2580</v>
      </c>
    </row>
    <row r="24" spans="1:2">
      <c r="A24" s="288" t="s">
        <v>2581</v>
      </c>
      <c r="B24" s="288" t="s">
        <v>2582</v>
      </c>
    </row>
    <row r="25" spans="1:2">
      <c r="A25" s="288" t="s">
        <v>2583</v>
      </c>
      <c r="B25" s="288" t="s">
        <v>2584</v>
      </c>
    </row>
    <row r="26" spans="1:2">
      <c r="A26" s="288" t="s">
        <v>2585</v>
      </c>
      <c r="B26" s="288" t="s">
        <v>2586</v>
      </c>
    </row>
    <row r="27" spans="1:2">
      <c r="A27" s="288" t="s">
        <v>2587</v>
      </c>
      <c r="B27" s="288" t="s">
        <v>2588</v>
      </c>
    </row>
    <row r="28" spans="1:2">
      <c r="A28" s="288" t="s">
        <v>2589</v>
      </c>
      <c r="B28" s="288" t="s">
        <v>2590</v>
      </c>
    </row>
    <row r="29" spans="1:2">
      <c r="A29" s="288" t="s">
        <v>2591</v>
      </c>
      <c r="B29" s="288" t="s">
        <v>2592</v>
      </c>
    </row>
    <row r="30" spans="1:2">
      <c r="A30" s="288" t="s">
        <v>2593</v>
      </c>
      <c r="B30" s="288" t="s">
        <v>2594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38"/>
  <sheetViews>
    <sheetView workbookViewId="0">
      <selection activeCell="E9" sqref="E9"/>
    </sheetView>
  </sheetViews>
  <sheetFormatPr defaultColWidth="9.140625" defaultRowHeight="15"/>
  <cols>
    <col min="1" max="1" width="5.85546875" bestFit="1" customWidth="1"/>
    <col min="3" max="3" width="48" bestFit="1" customWidth="1"/>
    <col min="5" max="5" width="35.28515625" customWidth="1"/>
  </cols>
  <sheetData>
    <row r="1" spans="1:3" ht="38.25">
      <c r="A1" t="s">
        <v>2536</v>
      </c>
      <c r="B1" s="277" t="s">
        <v>1532</v>
      </c>
      <c r="C1" s="278" t="s">
        <v>1533</v>
      </c>
    </row>
    <row r="2" spans="1:3">
      <c r="A2" t="s">
        <v>2368</v>
      </c>
      <c r="B2" s="279" t="s">
        <v>1804</v>
      </c>
      <c r="C2" s="280" t="s">
        <v>1081</v>
      </c>
    </row>
    <row r="3" spans="1:3">
      <c r="A3" t="s">
        <v>2368</v>
      </c>
      <c r="B3" s="279" t="s">
        <v>1805</v>
      </c>
      <c r="C3" s="280" t="s">
        <v>353</v>
      </c>
    </row>
    <row r="4" spans="1:3">
      <c r="A4" t="s">
        <v>2368</v>
      </c>
      <c r="B4" s="279" t="s">
        <v>1806</v>
      </c>
      <c r="C4" s="280" t="s">
        <v>1971</v>
      </c>
    </row>
    <row r="5" spans="1:3">
      <c r="A5" t="s">
        <v>2368</v>
      </c>
      <c r="B5" s="279" t="s">
        <v>1807</v>
      </c>
      <c r="C5" s="280" t="s">
        <v>1972</v>
      </c>
    </row>
    <row r="6" spans="1:3">
      <c r="A6" t="s">
        <v>2368</v>
      </c>
      <c r="B6" s="279" t="s">
        <v>1808</v>
      </c>
      <c r="C6" s="280" t="s">
        <v>1973</v>
      </c>
    </row>
    <row r="7" spans="1:3">
      <c r="A7" t="s">
        <v>2369</v>
      </c>
      <c r="B7" s="279" t="s">
        <v>1790</v>
      </c>
      <c r="C7" s="280" t="s">
        <v>1974</v>
      </c>
    </row>
    <row r="8" spans="1:3">
      <c r="A8" t="s">
        <v>2368</v>
      </c>
      <c r="B8" s="279" t="s">
        <v>1809</v>
      </c>
      <c r="C8" s="283" t="s">
        <v>1975</v>
      </c>
    </row>
    <row r="9" spans="1:3">
      <c r="A9" t="s">
        <v>2368</v>
      </c>
      <c r="B9" s="279" t="s">
        <v>1810</v>
      </c>
      <c r="C9" s="280" t="s">
        <v>295</v>
      </c>
    </row>
    <row r="10" spans="1:3">
      <c r="A10" t="s">
        <v>2368</v>
      </c>
      <c r="B10" s="279" t="s">
        <v>1811</v>
      </c>
      <c r="C10" s="280" t="s">
        <v>1976</v>
      </c>
    </row>
    <row r="11" spans="1:3">
      <c r="A11" t="s">
        <v>2368</v>
      </c>
      <c r="B11" s="279" t="s">
        <v>1812</v>
      </c>
      <c r="C11" s="280" t="s">
        <v>1977</v>
      </c>
    </row>
    <row r="12" spans="1:3">
      <c r="A12" t="s">
        <v>2369</v>
      </c>
      <c r="B12" s="279" t="s">
        <v>1791</v>
      </c>
      <c r="C12" s="280" t="s">
        <v>1978</v>
      </c>
    </row>
    <row r="13" spans="1:3">
      <c r="A13" t="s">
        <v>2368</v>
      </c>
      <c r="B13" s="279" t="s">
        <v>1813</v>
      </c>
      <c r="C13" s="280" t="s">
        <v>1979</v>
      </c>
    </row>
    <row r="14" spans="1:3">
      <c r="A14" t="s">
        <v>2368</v>
      </c>
      <c r="B14" s="279" t="s">
        <v>1814</v>
      </c>
      <c r="C14" s="280" t="s">
        <v>1118</v>
      </c>
    </row>
    <row r="15" spans="1:3">
      <c r="A15" t="s">
        <v>2368</v>
      </c>
      <c r="B15" s="279" t="s">
        <v>1815</v>
      </c>
      <c r="C15" s="280" t="s">
        <v>1980</v>
      </c>
    </row>
    <row r="16" spans="1:3">
      <c r="A16" t="s">
        <v>2369</v>
      </c>
      <c r="B16" s="279" t="s">
        <v>1792</v>
      </c>
      <c r="C16" s="280" t="s">
        <v>1096</v>
      </c>
    </row>
    <row r="17" spans="1:3">
      <c r="A17" t="s">
        <v>2368</v>
      </c>
      <c r="B17" s="279" t="s">
        <v>1816</v>
      </c>
      <c r="C17" s="280" t="s">
        <v>1981</v>
      </c>
    </row>
    <row r="18" spans="1:3">
      <c r="A18" t="s">
        <v>2368</v>
      </c>
      <c r="B18" s="279" t="s">
        <v>1817</v>
      </c>
      <c r="C18" s="280" t="s">
        <v>1105</v>
      </c>
    </row>
    <row r="19" spans="1:3">
      <c r="A19" t="s">
        <v>2368</v>
      </c>
      <c r="B19" s="279" t="s">
        <v>1818</v>
      </c>
      <c r="C19" s="280" t="s">
        <v>1982</v>
      </c>
    </row>
    <row r="20" spans="1:3">
      <c r="A20" t="s">
        <v>2368</v>
      </c>
      <c r="B20" s="279" t="s">
        <v>1819</v>
      </c>
      <c r="C20" s="280" t="s">
        <v>1983</v>
      </c>
    </row>
    <row r="21" spans="1:3">
      <c r="A21" t="s">
        <v>2368</v>
      </c>
      <c r="B21" s="279" t="s">
        <v>1820</v>
      </c>
      <c r="C21" s="280" t="s">
        <v>1984</v>
      </c>
    </row>
    <row r="22" spans="1:3">
      <c r="A22" t="s">
        <v>2368</v>
      </c>
      <c r="B22" s="279" t="s">
        <v>1821</v>
      </c>
      <c r="C22" s="280" t="s">
        <v>293</v>
      </c>
    </row>
    <row r="23" spans="1:3">
      <c r="A23" t="s">
        <v>2368</v>
      </c>
      <c r="B23" s="279" t="s">
        <v>1822</v>
      </c>
      <c r="C23" s="280" t="s">
        <v>1985</v>
      </c>
    </row>
    <row r="24" spans="1:3">
      <c r="A24" t="s">
        <v>2368</v>
      </c>
      <c r="B24" s="279" t="s">
        <v>1823</v>
      </c>
      <c r="C24" s="280" t="s">
        <v>1986</v>
      </c>
    </row>
    <row r="25" spans="1:3">
      <c r="A25" t="s">
        <v>2368</v>
      </c>
      <c r="B25" s="279" t="s">
        <v>1824</v>
      </c>
      <c r="C25" s="280" t="s">
        <v>1987</v>
      </c>
    </row>
    <row r="26" spans="1:3">
      <c r="A26" t="s">
        <v>2368</v>
      </c>
      <c r="B26" s="279" t="s">
        <v>1825</v>
      </c>
      <c r="C26" s="280" t="s">
        <v>1988</v>
      </c>
    </row>
    <row r="27" spans="1:3">
      <c r="A27" t="s">
        <v>2369</v>
      </c>
      <c r="B27" s="279" t="s">
        <v>1793</v>
      </c>
      <c r="C27" s="280" t="s">
        <v>1989</v>
      </c>
    </row>
    <row r="28" spans="1:3">
      <c r="A28" t="s">
        <v>2370</v>
      </c>
      <c r="B28" s="279" t="s">
        <v>1931</v>
      </c>
      <c r="C28" s="280" t="s">
        <v>1990</v>
      </c>
    </row>
    <row r="29" spans="1:3">
      <c r="A29" t="s">
        <v>2371</v>
      </c>
      <c r="B29" s="279" t="s">
        <v>1923</v>
      </c>
      <c r="C29" s="280" t="s">
        <v>1991</v>
      </c>
    </row>
    <row r="30" spans="1:3">
      <c r="A30" t="s">
        <v>2368</v>
      </c>
      <c r="B30" s="279" t="s">
        <v>1826</v>
      </c>
      <c r="C30" s="280" t="s">
        <v>1992</v>
      </c>
    </row>
    <row r="31" spans="1:3">
      <c r="A31" t="s">
        <v>2372</v>
      </c>
      <c r="B31" s="279" t="s">
        <v>1584</v>
      </c>
      <c r="C31" s="280" t="s">
        <v>1993</v>
      </c>
    </row>
    <row r="32" spans="1:3">
      <c r="A32" t="s">
        <v>2368</v>
      </c>
      <c r="B32" s="279" t="s">
        <v>1827</v>
      </c>
      <c r="C32" s="280" t="s">
        <v>1994</v>
      </c>
    </row>
    <row r="33" spans="1:3">
      <c r="A33" t="s">
        <v>2368</v>
      </c>
      <c r="B33" s="279" t="s">
        <v>1828</v>
      </c>
      <c r="C33" s="280" t="s">
        <v>1995</v>
      </c>
    </row>
    <row r="34" spans="1:3">
      <c r="A34" t="s">
        <v>2368</v>
      </c>
      <c r="B34" s="279" t="s">
        <v>1829</v>
      </c>
      <c r="C34" s="280" t="s">
        <v>1996</v>
      </c>
    </row>
    <row r="35" spans="1:3">
      <c r="A35" t="s">
        <v>2368</v>
      </c>
      <c r="B35" s="279" t="s">
        <v>1830</v>
      </c>
      <c r="C35" s="280" t="s">
        <v>1997</v>
      </c>
    </row>
    <row r="36" spans="1:3">
      <c r="A36" t="s">
        <v>2368</v>
      </c>
      <c r="B36" s="279" t="s">
        <v>1831</v>
      </c>
      <c r="C36" s="280" t="s">
        <v>1998</v>
      </c>
    </row>
    <row r="37" spans="1:3">
      <c r="A37" t="s">
        <v>2368</v>
      </c>
      <c r="B37" s="279" t="s">
        <v>1832</v>
      </c>
      <c r="C37" s="284" t="s">
        <v>1999</v>
      </c>
    </row>
    <row r="38" spans="1:3">
      <c r="A38" t="s">
        <v>2368</v>
      </c>
      <c r="B38" s="279" t="s">
        <v>1833</v>
      </c>
      <c r="C38" s="280" t="s">
        <v>2000</v>
      </c>
    </row>
    <row r="39" spans="1:3">
      <c r="A39" t="s">
        <v>2373</v>
      </c>
      <c r="B39" s="279" t="s">
        <v>1924</v>
      </c>
      <c r="C39" s="280" t="s">
        <v>2001</v>
      </c>
    </row>
    <row r="40" spans="1:3">
      <c r="A40" t="s">
        <v>2374</v>
      </c>
      <c r="B40" s="279" t="s">
        <v>1780</v>
      </c>
      <c r="C40" s="280" t="s">
        <v>2002</v>
      </c>
    </row>
    <row r="41" spans="1:3">
      <c r="A41" t="s">
        <v>2374</v>
      </c>
      <c r="B41" s="279" t="s">
        <v>1781</v>
      </c>
      <c r="C41" s="280" t="s">
        <v>2003</v>
      </c>
    </row>
    <row r="42" spans="1:3">
      <c r="A42" t="s">
        <v>2368</v>
      </c>
      <c r="B42" s="279" t="s">
        <v>1834</v>
      </c>
      <c r="C42" s="280" t="s">
        <v>2004</v>
      </c>
    </row>
    <row r="43" spans="1:3">
      <c r="A43" t="s">
        <v>2375</v>
      </c>
      <c r="B43" s="279" t="s">
        <v>1921</v>
      </c>
      <c r="C43" s="280" t="s">
        <v>2005</v>
      </c>
    </row>
    <row r="44" spans="1:3">
      <c r="A44" t="s">
        <v>2368</v>
      </c>
      <c r="B44" s="279" t="s">
        <v>1835</v>
      </c>
      <c r="C44" s="280" t="s">
        <v>1088</v>
      </c>
    </row>
    <row r="45" spans="1:3">
      <c r="A45" t="s">
        <v>2376</v>
      </c>
      <c r="B45" s="279" t="s">
        <v>1777</v>
      </c>
      <c r="C45" s="280" t="s">
        <v>2006</v>
      </c>
    </row>
    <row r="46" spans="1:3">
      <c r="A46" t="s">
        <v>2377</v>
      </c>
      <c r="B46" s="279" t="s">
        <v>1774</v>
      </c>
      <c r="C46" s="280" t="s">
        <v>2007</v>
      </c>
    </row>
    <row r="47" spans="1:3">
      <c r="A47" t="s">
        <v>2378</v>
      </c>
      <c r="B47" s="279" t="s">
        <v>1776</v>
      </c>
      <c r="C47" s="280" t="s">
        <v>2008</v>
      </c>
    </row>
    <row r="48" spans="1:3">
      <c r="A48" t="s">
        <v>2368</v>
      </c>
      <c r="B48" s="279" t="s">
        <v>1836</v>
      </c>
      <c r="C48" s="280" t="s">
        <v>2009</v>
      </c>
    </row>
    <row r="49" spans="1:3">
      <c r="A49" t="s">
        <v>2368</v>
      </c>
      <c r="B49" s="279" t="s">
        <v>1837</v>
      </c>
      <c r="C49" s="280" t="s">
        <v>1078</v>
      </c>
    </row>
    <row r="50" spans="1:3">
      <c r="A50" t="s">
        <v>2368</v>
      </c>
      <c r="B50" s="279" t="s">
        <v>1838</v>
      </c>
      <c r="C50" s="280" t="s">
        <v>1123</v>
      </c>
    </row>
    <row r="51" spans="1:3">
      <c r="A51" t="s">
        <v>2368</v>
      </c>
      <c r="B51" s="279" t="s">
        <v>1839</v>
      </c>
      <c r="C51" s="280" t="s">
        <v>2010</v>
      </c>
    </row>
    <row r="52" spans="1:3">
      <c r="A52" t="s">
        <v>2368</v>
      </c>
      <c r="B52" s="279" t="s">
        <v>1840</v>
      </c>
      <c r="C52" s="280" t="s">
        <v>2011</v>
      </c>
    </row>
    <row r="53" spans="1:3">
      <c r="A53" t="s">
        <v>2368</v>
      </c>
      <c r="B53" s="279" t="s">
        <v>1841</v>
      </c>
      <c r="C53" s="280" t="s">
        <v>1089</v>
      </c>
    </row>
    <row r="54" spans="1:3">
      <c r="A54" t="s">
        <v>2368</v>
      </c>
      <c r="B54" s="279" t="s">
        <v>1842</v>
      </c>
      <c r="C54" s="280" t="s">
        <v>2012</v>
      </c>
    </row>
    <row r="55" spans="1:3">
      <c r="A55" t="s">
        <v>2368</v>
      </c>
      <c r="B55" s="279" t="s">
        <v>1843</v>
      </c>
      <c r="C55" s="280" t="s">
        <v>2013</v>
      </c>
    </row>
    <row r="56" spans="1:3">
      <c r="A56" t="s">
        <v>2368</v>
      </c>
      <c r="B56" s="279" t="s">
        <v>1844</v>
      </c>
      <c r="C56" s="280" t="s">
        <v>1093</v>
      </c>
    </row>
    <row r="57" spans="1:3">
      <c r="A57" t="s">
        <v>2368</v>
      </c>
      <c r="B57" s="279" t="s">
        <v>1845</v>
      </c>
      <c r="C57" s="280" t="s">
        <v>2014</v>
      </c>
    </row>
    <row r="58" spans="1:3">
      <c r="A58" t="s">
        <v>2368</v>
      </c>
      <c r="B58" s="279" t="s">
        <v>1846</v>
      </c>
      <c r="C58" s="280" t="s">
        <v>2015</v>
      </c>
    </row>
    <row r="59" spans="1:3">
      <c r="A59" t="s">
        <v>2379</v>
      </c>
      <c r="B59" s="279" t="s">
        <v>1787</v>
      </c>
      <c r="C59" s="280" t="s">
        <v>2016</v>
      </c>
    </row>
    <row r="60" spans="1:3">
      <c r="A60" t="s">
        <v>2368</v>
      </c>
      <c r="B60" s="279" t="s">
        <v>1847</v>
      </c>
      <c r="C60" s="280" t="s">
        <v>2017</v>
      </c>
    </row>
    <row r="61" spans="1:3">
      <c r="A61" t="s">
        <v>2368</v>
      </c>
      <c r="B61" s="279" t="s">
        <v>1848</v>
      </c>
      <c r="C61" s="280" t="s">
        <v>2018</v>
      </c>
    </row>
    <row r="62" spans="1:3">
      <c r="A62" t="s">
        <v>2368</v>
      </c>
      <c r="B62" s="279" t="s">
        <v>1849</v>
      </c>
      <c r="C62" s="280" t="s">
        <v>2019</v>
      </c>
    </row>
    <row r="63" spans="1:3">
      <c r="A63" t="s">
        <v>2368</v>
      </c>
      <c r="B63" s="279" t="s">
        <v>1850</v>
      </c>
      <c r="C63" s="280" t="s">
        <v>2020</v>
      </c>
    </row>
    <row r="64" spans="1:3">
      <c r="A64" t="s">
        <v>2368</v>
      </c>
      <c r="B64" s="279" t="s">
        <v>1851</v>
      </c>
      <c r="C64" s="280" t="s">
        <v>2021</v>
      </c>
    </row>
    <row r="65" spans="1:3">
      <c r="A65" t="s">
        <v>2380</v>
      </c>
      <c r="B65" s="279" t="s">
        <v>1799</v>
      </c>
      <c r="C65" s="280" t="s">
        <v>2022</v>
      </c>
    </row>
    <row r="66" spans="1:3">
      <c r="A66" t="s">
        <v>2368</v>
      </c>
      <c r="B66" s="279" t="s">
        <v>1852</v>
      </c>
      <c r="C66" s="280" t="s">
        <v>2023</v>
      </c>
    </row>
    <row r="67" spans="1:3">
      <c r="A67" t="s">
        <v>2368</v>
      </c>
      <c r="B67" s="279" t="s">
        <v>1853</v>
      </c>
      <c r="C67" s="280" t="s">
        <v>1120</v>
      </c>
    </row>
    <row r="68" spans="1:3">
      <c r="A68" t="s">
        <v>2368</v>
      </c>
      <c r="B68" s="279" t="s">
        <v>1854</v>
      </c>
      <c r="C68" s="280" t="s">
        <v>1119</v>
      </c>
    </row>
    <row r="69" spans="1:3">
      <c r="A69" t="s">
        <v>2368</v>
      </c>
      <c r="B69" s="279" t="s">
        <v>1855</v>
      </c>
      <c r="C69" s="280" t="s">
        <v>626</v>
      </c>
    </row>
    <row r="70" spans="1:3">
      <c r="A70" t="s">
        <v>2368</v>
      </c>
      <c r="B70" s="279" t="s">
        <v>1856</v>
      </c>
      <c r="C70" s="280" t="s">
        <v>2024</v>
      </c>
    </row>
    <row r="71" spans="1:3">
      <c r="A71" t="s">
        <v>2368</v>
      </c>
      <c r="B71" s="279" t="s">
        <v>1857</v>
      </c>
      <c r="C71" s="280" t="s">
        <v>977</v>
      </c>
    </row>
    <row r="72" spans="1:3">
      <c r="A72" t="s">
        <v>2381</v>
      </c>
      <c r="B72" s="279" t="s">
        <v>1796</v>
      </c>
      <c r="C72" s="280" t="s">
        <v>2025</v>
      </c>
    </row>
    <row r="73" spans="1:3">
      <c r="A73" t="s">
        <v>2381</v>
      </c>
      <c r="B73" s="279" t="s">
        <v>1797</v>
      </c>
      <c r="C73" s="280" t="s">
        <v>2026</v>
      </c>
    </row>
    <row r="74" spans="1:3">
      <c r="A74" t="s">
        <v>2368</v>
      </c>
      <c r="B74" s="279" t="s">
        <v>1858</v>
      </c>
      <c r="C74" s="280" t="s">
        <v>2027</v>
      </c>
    </row>
    <row r="75" spans="1:3">
      <c r="A75" t="s">
        <v>2382</v>
      </c>
      <c r="B75" s="279" t="s">
        <v>1794</v>
      </c>
      <c r="C75" s="280" t="s">
        <v>1101</v>
      </c>
    </row>
    <row r="76" spans="1:3">
      <c r="A76" t="s">
        <v>2383</v>
      </c>
      <c r="B76" s="279" t="s">
        <v>1800</v>
      </c>
      <c r="C76" s="280" t="s">
        <v>2028</v>
      </c>
    </row>
    <row r="77" spans="1:3">
      <c r="A77" t="s">
        <v>2368</v>
      </c>
      <c r="B77" s="279" t="s">
        <v>1859</v>
      </c>
      <c r="C77" s="280" t="s">
        <v>290</v>
      </c>
    </row>
    <row r="78" spans="1:3">
      <c r="A78" t="s">
        <v>2384</v>
      </c>
      <c r="B78" s="279" t="s">
        <v>1801</v>
      </c>
      <c r="C78" s="280" t="s">
        <v>1087</v>
      </c>
    </row>
    <row r="79" spans="1:3">
      <c r="A79" t="s">
        <v>2385</v>
      </c>
      <c r="B79" s="279" t="s">
        <v>1914</v>
      </c>
      <c r="C79" s="280" t="s">
        <v>2029</v>
      </c>
    </row>
    <row r="80" spans="1:3">
      <c r="A80" t="s">
        <v>2386</v>
      </c>
      <c r="B80" s="279" t="s">
        <v>1913</v>
      </c>
      <c r="C80" s="280" t="s">
        <v>2030</v>
      </c>
    </row>
    <row r="81" spans="1:3">
      <c r="A81" t="s">
        <v>2368</v>
      </c>
      <c r="B81" s="279" t="s">
        <v>1860</v>
      </c>
      <c r="C81" s="280" t="s">
        <v>342</v>
      </c>
    </row>
    <row r="82" spans="1:3">
      <c r="A82" t="s">
        <v>2368</v>
      </c>
      <c r="B82" s="279" t="s">
        <v>1861</v>
      </c>
      <c r="C82" s="280" t="s">
        <v>2031</v>
      </c>
    </row>
    <row r="83" spans="1:3">
      <c r="A83" t="s">
        <v>2387</v>
      </c>
      <c r="B83" s="279" t="s">
        <v>1920</v>
      </c>
      <c r="C83" s="280" t="s">
        <v>2032</v>
      </c>
    </row>
    <row r="84" spans="1:3">
      <c r="A84" t="s">
        <v>2368</v>
      </c>
      <c r="B84" s="279" t="s">
        <v>1862</v>
      </c>
      <c r="C84" s="280" t="s">
        <v>1100</v>
      </c>
    </row>
    <row r="85" spans="1:3">
      <c r="A85" t="s">
        <v>2368</v>
      </c>
      <c r="B85" s="279" t="s">
        <v>1863</v>
      </c>
      <c r="C85" s="280" t="s">
        <v>740</v>
      </c>
    </row>
    <row r="86" spans="1:3">
      <c r="A86" t="s">
        <v>2368</v>
      </c>
      <c r="B86" s="279" t="s">
        <v>1864</v>
      </c>
      <c r="C86" s="280" t="s">
        <v>768</v>
      </c>
    </row>
    <row r="87" spans="1:3">
      <c r="A87" t="s">
        <v>2368</v>
      </c>
      <c r="B87" s="279" t="s">
        <v>1865</v>
      </c>
      <c r="C87" s="280" t="s">
        <v>325</v>
      </c>
    </row>
    <row r="88" spans="1:3">
      <c r="A88" t="s">
        <v>2368</v>
      </c>
      <c r="B88" s="279" t="s">
        <v>1866</v>
      </c>
      <c r="C88" s="280" t="s">
        <v>2033</v>
      </c>
    </row>
    <row r="89" spans="1:3">
      <c r="A89" t="s">
        <v>2368</v>
      </c>
      <c r="B89" s="279" t="s">
        <v>1867</v>
      </c>
      <c r="C89" s="280" t="s">
        <v>2034</v>
      </c>
    </row>
    <row r="90" spans="1:3">
      <c r="A90" t="s">
        <v>2388</v>
      </c>
      <c r="B90" s="279" t="s">
        <v>1803</v>
      </c>
      <c r="C90" s="280" t="s">
        <v>2035</v>
      </c>
    </row>
    <row r="91" spans="1:3">
      <c r="A91" t="s">
        <v>2389</v>
      </c>
      <c r="B91" s="279" t="s">
        <v>1915</v>
      </c>
      <c r="C91" s="280" t="s">
        <v>2036</v>
      </c>
    </row>
    <row r="92" spans="1:3">
      <c r="A92" t="s">
        <v>2368</v>
      </c>
      <c r="B92" s="279" t="s">
        <v>1868</v>
      </c>
      <c r="C92" s="280" t="s">
        <v>1122</v>
      </c>
    </row>
    <row r="93" spans="1:3">
      <c r="A93" t="s">
        <v>2384</v>
      </c>
      <c r="B93" s="279" t="s">
        <v>1802</v>
      </c>
      <c r="C93" s="280" t="s">
        <v>2037</v>
      </c>
    </row>
    <row r="94" spans="1:3">
      <c r="A94" t="s">
        <v>2390</v>
      </c>
      <c r="B94" s="279" t="s">
        <v>1919</v>
      </c>
      <c r="C94" s="280" t="s">
        <v>2038</v>
      </c>
    </row>
    <row r="95" spans="1:3">
      <c r="A95" t="s">
        <v>2391</v>
      </c>
      <c r="B95" s="279" t="s">
        <v>1912</v>
      </c>
      <c r="C95" s="280" t="s">
        <v>2039</v>
      </c>
    </row>
    <row r="96" spans="1:3">
      <c r="A96" t="s">
        <v>2392</v>
      </c>
      <c r="B96" s="279" t="s">
        <v>1905</v>
      </c>
      <c r="C96" s="280" t="s">
        <v>2040</v>
      </c>
    </row>
    <row r="97" spans="1:3">
      <c r="A97" t="s">
        <v>2368</v>
      </c>
      <c r="B97" s="279" t="s">
        <v>1869</v>
      </c>
      <c r="C97" s="280" t="s">
        <v>1077</v>
      </c>
    </row>
    <row r="98" spans="1:3">
      <c r="A98" t="s">
        <v>2368</v>
      </c>
      <c r="B98" s="279" t="s">
        <v>1870</v>
      </c>
      <c r="C98" s="280" t="s">
        <v>2041</v>
      </c>
    </row>
    <row r="99" spans="1:3">
      <c r="A99" t="s">
        <v>2393</v>
      </c>
      <c r="B99" s="279" t="s">
        <v>1916</v>
      </c>
      <c r="C99" s="280" t="s">
        <v>2042</v>
      </c>
    </row>
    <row r="100" spans="1:3">
      <c r="A100" t="s">
        <v>2393</v>
      </c>
      <c r="B100" s="279" t="s">
        <v>1917</v>
      </c>
      <c r="C100" s="280" t="s">
        <v>2043</v>
      </c>
    </row>
    <row r="101" spans="1:3">
      <c r="A101" t="s">
        <v>2393</v>
      </c>
      <c r="B101" s="279" t="s">
        <v>1918</v>
      </c>
      <c r="C101" s="280" t="s">
        <v>2044</v>
      </c>
    </row>
    <row r="102" spans="1:3">
      <c r="A102" t="s">
        <v>2368</v>
      </c>
      <c r="B102" s="279" t="s">
        <v>1871</v>
      </c>
      <c r="C102" s="280" t="s">
        <v>327</v>
      </c>
    </row>
    <row r="103" spans="1:3">
      <c r="A103" t="s">
        <v>2394</v>
      </c>
      <c r="B103" s="279" t="s">
        <v>1756</v>
      </c>
      <c r="C103" s="280" t="s">
        <v>2045</v>
      </c>
    </row>
    <row r="104" spans="1:3">
      <c r="A104" t="s">
        <v>2394</v>
      </c>
      <c r="B104" s="279" t="s">
        <v>1757</v>
      </c>
      <c r="C104" s="280" t="s">
        <v>2046</v>
      </c>
    </row>
    <row r="105" spans="1:3">
      <c r="A105" t="s">
        <v>2394</v>
      </c>
      <c r="B105" s="279" t="s">
        <v>1758</v>
      </c>
      <c r="C105" s="280" t="s">
        <v>2047</v>
      </c>
    </row>
    <row r="106" spans="1:3">
      <c r="A106" t="s">
        <v>2394</v>
      </c>
      <c r="B106" s="279" t="s">
        <v>1759</v>
      </c>
      <c r="C106" s="280" t="s">
        <v>577</v>
      </c>
    </row>
    <row r="107" spans="1:3">
      <c r="A107" t="s">
        <v>2394</v>
      </c>
      <c r="B107" s="279" t="s">
        <v>1760</v>
      </c>
      <c r="C107" s="280" t="s">
        <v>579</v>
      </c>
    </row>
    <row r="108" spans="1:3">
      <c r="A108" t="s">
        <v>2382</v>
      </c>
      <c r="B108" s="279" t="s">
        <v>1795</v>
      </c>
      <c r="C108" s="280" t="s">
        <v>1085</v>
      </c>
    </row>
    <row r="109" spans="1:3">
      <c r="A109" t="s">
        <v>2395</v>
      </c>
      <c r="B109" s="279" t="s">
        <v>1769</v>
      </c>
      <c r="C109" s="280" t="s">
        <v>2048</v>
      </c>
    </row>
    <row r="110" spans="1:3">
      <c r="A110" t="s">
        <v>2396</v>
      </c>
      <c r="B110" s="279" t="s">
        <v>1770</v>
      </c>
      <c r="C110" s="280" t="s">
        <v>2049</v>
      </c>
    </row>
    <row r="111" spans="1:3">
      <c r="A111" t="s">
        <v>2397</v>
      </c>
      <c r="B111" s="279" t="s">
        <v>1762</v>
      </c>
      <c r="C111" s="280" t="s">
        <v>2050</v>
      </c>
    </row>
    <row r="112" spans="1:3">
      <c r="A112" t="s">
        <v>2394</v>
      </c>
      <c r="B112" s="279" t="s">
        <v>1761</v>
      </c>
      <c r="C112" s="280" t="s">
        <v>2051</v>
      </c>
    </row>
    <row r="113" spans="1:3">
      <c r="A113" t="s">
        <v>2398</v>
      </c>
      <c r="B113" s="279" t="s">
        <v>1908</v>
      </c>
      <c r="C113" s="280" t="s">
        <v>2052</v>
      </c>
    </row>
    <row r="114" spans="1:3">
      <c r="A114" t="s">
        <v>2399</v>
      </c>
      <c r="B114" s="279" t="s">
        <v>1925</v>
      </c>
      <c r="C114" s="280" t="s">
        <v>2053</v>
      </c>
    </row>
    <row r="115" spans="1:3">
      <c r="A115" t="s">
        <v>2400</v>
      </c>
      <c r="B115" s="279" t="s">
        <v>1659</v>
      </c>
      <c r="C115" s="280" t="s">
        <v>2054</v>
      </c>
    </row>
    <row r="116" spans="1:3">
      <c r="A116" t="s">
        <v>2400</v>
      </c>
      <c r="B116" s="279" t="s">
        <v>1660</v>
      </c>
      <c r="C116" s="280" t="s">
        <v>2055</v>
      </c>
    </row>
    <row r="117" spans="1:3">
      <c r="A117" t="s">
        <v>2400</v>
      </c>
      <c r="B117" s="279" t="s">
        <v>1661</v>
      </c>
      <c r="C117" s="280" t="s">
        <v>475</v>
      </c>
    </row>
    <row r="118" spans="1:3">
      <c r="A118" t="s">
        <v>2401</v>
      </c>
      <c r="B118" s="279" t="s">
        <v>1595</v>
      </c>
      <c r="C118" s="280" t="s">
        <v>2056</v>
      </c>
    </row>
    <row r="119" spans="1:3">
      <c r="A119" t="s">
        <v>2401</v>
      </c>
      <c r="B119" s="279" t="s">
        <v>1596</v>
      </c>
      <c r="C119" s="280" t="s">
        <v>2057</v>
      </c>
    </row>
    <row r="120" spans="1:3">
      <c r="A120" t="s">
        <v>2401</v>
      </c>
      <c r="B120" s="279" t="s">
        <v>1597</v>
      </c>
      <c r="C120" s="280" t="s">
        <v>2058</v>
      </c>
    </row>
    <row r="121" spans="1:3">
      <c r="A121" t="s">
        <v>2401</v>
      </c>
      <c r="B121" s="279" t="s">
        <v>1598</v>
      </c>
      <c r="C121" s="280" t="s">
        <v>2059</v>
      </c>
    </row>
    <row r="122" spans="1:3">
      <c r="A122" t="s">
        <v>2401</v>
      </c>
      <c r="B122" s="279" t="s">
        <v>1599</v>
      </c>
      <c r="C122" s="280" t="s">
        <v>2060</v>
      </c>
    </row>
    <row r="123" spans="1:3">
      <c r="A123" t="s">
        <v>2401</v>
      </c>
      <c r="B123" s="279" t="s">
        <v>1600</v>
      </c>
      <c r="C123" s="280" t="s">
        <v>2061</v>
      </c>
    </row>
    <row r="124" spans="1:3">
      <c r="A124" t="s">
        <v>2401</v>
      </c>
      <c r="B124" s="279" t="s">
        <v>1601</v>
      </c>
      <c r="C124" s="280" t="s">
        <v>2062</v>
      </c>
    </row>
    <row r="125" spans="1:3">
      <c r="A125" t="s">
        <v>2401</v>
      </c>
      <c r="B125" s="279" t="s">
        <v>1602</v>
      </c>
      <c r="C125" s="280" t="s">
        <v>2063</v>
      </c>
    </row>
    <row r="126" spans="1:3">
      <c r="A126" t="s">
        <v>2401</v>
      </c>
      <c r="B126" s="279" t="s">
        <v>1603</v>
      </c>
      <c r="C126" s="280" t="s">
        <v>2064</v>
      </c>
    </row>
    <row r="127" spans="1:3">
      <c r="A127" t="s">
        <v>2401</v>
      </c>
      <c r="B127" s="279" t="s">
        <v>1604</v>
      </c>
      <c r="C127" s="280" t="s">
        <v>2065</v>
      </c>
    </row>
    <row r="128" spans="1:3">
      <c r="A128" t="s">
        <v>2401</v>
      </c>
      <c r="B128" s="279" t="s">
        <v>1605</v>
      </c>
      <c r="C128" s="280" t="s">
        <v>2066</v>
      </c>
    </row>
    <row r="129" spans="1:3">
      <c r="A129" t="s">
        <v>2401</v>
      </c>
      <c r="B129" s="279" t="s">
        <v>1606</v>
      </c>
      <c r="C129" s="280" t="s">
        <v>2067</v>
      </c>
    </row>
    <row r="130" spans="1:3">
      <c r="A130" t="s">
        <v>2401</v>
      </c>
      <c r="B130" s="279" t="s">
        <v>1607</v>
      </c>
      <c r="C130" s="280" t="s">
        <v>2068</v>
      </c>
    </row>
    <row r="131" spans="1:3">
      <c r="A131" t="s">
        <v>2401</v>
      </c>
      <c r="B131" s="279" t="s">
        <v>1608</v>
      </c>
      <c r="C131" s="280" t="s">
        <v>2069</v>
      </c>
    </row>
    <row r="132" spans="1:3">
      <c r="A132" t="s">
        <v>2401</v>
      </c>
      <c r="B132" s="279" t="s">
        <v>1609</v>
      </c>
      <c r="C132" s="280" t="s">
        <v>2070</v>
      </c>
    </row>
    <row r="133" spans="1:3">
      <c r="A133" t="s">
        <v>2401</v>
      </c>
      <c r="B133" s="279" t="s">
        <v>1610</v>
      </c>
      <c r="C133" s="280" t="s">
        <v>2071</v>
      </c>
    </row>
    <row r="134" spans="1:3">
      <c r="A134" t="s">
        <v>2401</v>
      </c>
      <c r="B134" s="279" t="s">
        <v>1611</v>
      </c>
      <c r="C134" s="280" t="s">
        <v>2072</v>
      </c>
    </row>
    <row r="135" spans="1:3">
      <c r="A135" t="s">
        <v>2402</v>
      </c>
      <c r="B135" s="279" t="s">
        <v>1574</v>
      </c>
      <c r="C135" s="280" t="s">
        <v>2073</v>
      </c>
    </row>
    <row r="136" spans="1:3">
      <c r="A136" t="s">
        <v>2403</v>
      </c>
      <c r="B136" s="279" t="s">
        <v>1534</v>
      </c>
      <c r="C136" s="280" t="s">
        <v>2074</v>
      </c>
    </row>
    <row r="137" spans="1:3">
      <c r="A137" t="s">
        <v>2403</v>
      </c>
      <c r="B137" s="279" t="s">
        <v>1535</v>
      </c>
      <c r="C137" s="280" t="s">
        <v>2075</v>
      </c>
    </row>
    <row r="138" spans="1:3">
      <c r="A138" t="s">
        <v>2403</v>
      </c>
      <c r="B138" s="279" t="s">
        <v>1536</v>
      </c>
      <c r="C138" s="280" t="s">
        <v>2076</v>
      </c>
    </row>
    <row r="139" spans="1:3">
      <c r="A139" t="s">
        <v>2403</v>
      </c>
      <c r="B139" s="279" t="s">
        <v>1537</v>
      </c>
      <c r="C139" s="280" t="s">
        <v>2077</v>
      </c>
    </row>
    <row r="140" spans="1:3">
      <c r="A140" t="s">
        <v>2404</v>
      </c>
      <c r="B140" s="279" t="s">
        <v>1568</v>
      </c>
      <c r="C140" s="280" t="s">
        <v>2078</v>
      </c>
    </row>
    <row r="141" spans="1:3">
      <c r="A141" t="s">
        <v>2405</v>
      </c>
      <c r="B141" s="279" t="s">
        <v>1566</v>
      </c>
      <c r="C141" s="280" t="s">
        <v>2079</v>
      </c>
    </row>
    <row r="142" spans="1:3">
      <c r="A142" t="s">
        <v>2406</v>
      </c>
      <c r="B142" s="279" t="s">
        <v>1563</v>
      </c>
      <c r="C142" s="280" t="s">
        <v>2080</v>
      </c>
    </row>
    <row r="143" spans="1:3">
      <c r="A143" t="s">
        <v>2406</v>
      </c>
      <c r="B143" s="279" t="s">
        <v>1564</v>
      </c>
      <c r="C143" s="280" t="s">
        <v>2081</v>
      </c>
    </row>
    <row r="144" spans="1:3">
      <c r="A144" t="s">
        <v>2407</v>
      </c>
      <c r="B144" s="279" t="s">
        <v>1562</v>
      </c>
      <c r="C144" s="280" t="s">
        <v>2082</v>
      </c>
    </row>
    <row r="145" spans="1:3">
      <c r="A145" t="s">
        <v>2408</v>
      </c>
      <c r="B145" s="279" t="s">
        <v>1578</v>
      </c>
      <c r="C145" s="280" t="s">
        <v>2083</v>
      </c>
    </row>
    <row r="146" spans="1:3">
      <c r="A146" t="s">
        <v>2409</v>
      </c>
      <c r="B146" s="279" t="s">
        <v>1556</v>
      </c>
      <c r="C146" s="280" t="s">
        <v>2084</v>
      </c>
    </row>
    <row r="147" spans="1:3">
      <c r="A147" t="s">
        <v>2410</v>
      </c>
      <c r="B147" s="279" t="s">
        <v>1570</v>
      </c>
      <c r="C147" s="280" t="s">
        <v>2085</v>
      </c>
    </row>
    <row r="148" spans="1:3">
      <c r="A148" t="s">
        <v>2411</v>
      </c>
      <c r="B148" s="279" t="s">
        <v>1552</v>
      </c>
      <c r="C148" s="280" t="s">
        <v>2086</v>
      </c>
    </row>
    <row r="149" spans="1:3">
      <c r="A149" t="s">
        <v>2412</v>
      </c>
      <c r="B149" s="279" t="s">
        <v>1549</v>
      </c>
      <c r="C149" s="280" t="s">
        <v>2087</v>
      </c>
    </row>
    <row r="150" spans="1:3">
      <c r="A150" t="s">
        <v>2413</v>
      </c>
      <c r="B150" s="279" t="s">
        <v>1554</v>
      </c>
      <c r="C150" s="280" t="s">
        <v>2088</v>
      </c>
    </row>
    <row r="151" spans="1:3">
      <c r="A151" t="s">
        <v>2414</v>
      </c>
      <c r="B151" s="279" t="s">
        <v>1577</v>
      </c>
      <c r="C151" s="280" t="s">
        <v>2089</v>
      </c>
    </row>
    <row r="152" spans="1:3">
      <c r="A152" t="s">
        <v>2415</v>
      </c>
      <c r="B152" s="279" t="s">
        <v>1573</v>
      </c>
      <c r="C152" s="280" t="s">
        <v>2090</v>
      </c>
    </row>
    <row r="153" spans="1:3">
      <c r="A153" t="s">
        <v>2368</v>
      </c>
      <c r="B153" s="279" t="s">
        <v>1872</v>
      </c>
      <c r="C153" s="280" t="s">
        <v>1082</v>
      </c>
    </row>
    <row r="154" spans="1:3">
      <c r="A154" t="s">
        <v>2416</v>
      </c>
      <c r="B154" s="279" t="s">
        <v>1565</v>
      </c>
      <c r="C154" s="280" t="s">
        <v>2091</v>
      </c>
    </row>
    <row r="155" spans="1:3">
      <c r="A155" t="s">
        <v>2417</v>
      </c>
      <c r="B155" s="279" t="s">
        <v>1557</v>
      </c>
      <c r="C155" s="280" t="s">
        <v>2092</v>
      </c>
    </row>
    <row r="156" spans="1:3">
      <c r="A156" t="s">
        <v>2418</v>
      </c>
      <c r="B156" s="279" t="s">
        <v>1922</v>
      </c>
      <c r="C156" s="280" t="s">
        <v>2093</v>
      </c>
    </row>
    <row r="157" spans="1:3">
      <c r="A157" t="s">
        <v>2368</v>
      </c>
      <c r="B157" s="279" t="s">
        <v>1873</v>
      </c>
      <c r="C157" s="280" t="s">
        <v>2094</v>
      </c>
    </row>
    <row r="158" spans="1:3">
      <c r="A158" t="s">
        <v>2368</v>
      </c>
      <c r="B158" s="279" t="s">
        <v>1874</v>
      </c>
      <c r="C158" s="280" t="s">
        <v>368</v>
      </c>
    </row>
    <row r="159" spans="1:3">
      <c r="A159" t="s">
        <v>2419</v>
      </c>
      <c r="B159" s="279" t="s">
        <v>1558</v>
      </c>
      <c r="C159" s="280" t="s">
        <v>2095</v>
      </c>
    </row>
    <row r="160" spans="1:3">
      <c r="A160" t="s">
        <v>2420</v>
      </c>
      <c r="B160" s="279" t="s">
        <v>1571</v>
      </c>
      <c r="C160" s="280" t="s">
        <v>2096</v>
      </c>
    </row>
    <row r="161" spans="1:3">
      <c r="A161" t="s">
        <v>2421</v>
      </c>
      <c r="B161" s="279" t="s">
        <v>1559</v>
      </c>
      <c r="C161" s="280" t="s">
        <v>2097</v>
      </c>
    </row>
    <row r="162" spans="1:3">
      <c r="A162" t="s">
        <v>2401</v>
      </c>
      <c r="B162" s="279" t="s">
        <v>1612</v>
      </c>
      <c r="C162" s="280" t="s">
        <v>2098</v>
      </c>
    </row>
    <row r="163" spans="1:3">
      <c r="A163" t="s">
        <v>2401</v>
      </c>
      <c r="B163" s="279" t="s">
        <v>1613</v>
      </c>
      <c r="C163" s="280" t="s">
        <v>2099</v>
      </c>
    </row>
    <row r="164" spans="1:3">
      <c r="A164" t="s">
        <v>2422</v>
      </c>
      <c r="B164" s="279" t="s">
        <v>1567</v>
      </c>
      <c r="C164" s="280" t="s">
        <v>2100</v>
      </c>
    </row>
    <row r="165" spans="1:3">
      <c r="A165" t="s">
        <v>2403</v>
      </c>
      <c r="B165" s="279" t="s">
        <v>1538</v>
      </c>
      <c r="C165" s="280" t="s">
        <v>2101</v>
      </c>
    </row>
    <row r="166" spans="1:3">
      <c r="A166" t="s">
        <v>2423</v>
      </c>
      <c r="B166" s="279" t="s">
        <v>1553</v>
      </c>
      <c r="C166" s="280" t="s">
        <v>2102</v>
      </c>
    </row>
    <row r="167" spans="1:3">
      <c r="A167" t="s">
        <v>2424</v>
      </c>
      <c r="B167" s="279" t="s">
        <v>1555</v>
      </c>
      <c r="C167" s="280" t="s">
        <v>2103</v>
      </c>
    </row>
    <row r="168" spans="1:3">
      <c r="A168" t="s">
        <v>2425</v>
      </c>
      <c r="B168" s="279" t="s">
        <v>1551</v>
      </c>
      <c r="C168" s="280" t="s">
        <v>2104</v>
      </c>
    </row>
    <row r="169" spans="1:3">
      <c r="A169" t="s">
        <v>2426</v>
      </c>
      <c r="B169" s="279" t="s">
        <v>1572</v>
      </c>
      <c r="C169" s="280" t="s">
        <v>2105</v>
      </c>
    </row>
    <row r="170" spans="1:3">
      <c r="A170" t="s">
        <v>2427</v>
      </c>
      <c r="B170" s="279" t="s">
        <v>1550</v>
      </c>
      <c r="C170" s="280" t="s">
        <v>2106</v>
      </c>
    </row>
    <row r="171" spans="1:3">
      <c r="A171" t="s">
        <v>2428</v>
      </c>
      <c r="B171" s="279" t="s">
        <v>1906</v>
      </c>
      <c r="C171" s="280" t="s">
        <v>2107</v>
      </c>
    </row>
    <row r="172" spans="1:3">
      <c r="A172" t="s">
        <v>2429</v>
      </c>
      <c r="B172" s="279" t="s">
        <v>1575</v>
      </c>
      <c r="C172" s="280" t="s">
        <v>2108</v>
      </c>
    </row>
    <row r="173" spans="1:3">
      <c r="A173" t="s">
        <v>2368</v>
      </c>
      <c r="B173" s="279" t="s">
        <v>1875</v>
      </c>
      <c r="C173" s="280" t="s">
        <v>2109</v>
      </c>
    </row>
    <row r="174" spans="1:3">
      <c r="A174" t="s">
        <v>2401</v>
      </c>
      <c r="B174" s="279" t="s">
        <v>1614</v>
      </c>
      <c r="C174" s="280" t="s">
        <v>2110</v>
      </c>
    </row>
    <row r="175" spans="1:3">
      <c r="A175" t="s">
        <v>2368</v>
      </c>
      <c r="B175" s="279" t="s">
        <v>1876</v>
      </c>
      <c r="C175" s="280" t="s">
        <v>2111</v>
      </c>
    </row>
    <row r="176" spans="1:3">
      <c r="A176" t="s">
        <v>2400</v>
      </c>
      <c r="B176" s="279" t="s">
        <v>1662</v>
      </c>
      <c r="C176" s="280" t="s">
        <v>2112</v>
      </c>
    </row>
    <row r="177" spans="1:3">
      <c r="A177" t="s">
        <v>2401</v>
      </c>
      <c r="B177" s="279" t="s">
        <v>1615</v>
      </c>
      <c r="C177" s="280" t="s">
        <v>2113</v>
      </c>
    </row>
    <row r="178" spans="1:3">
      <c r="A178" t="s">
        <v>2401</v>
      </c>
      <c r="B178" s="279" t="s">
        <v>1616</v>
      </c>
      <c r="C178" s="280" t="s">
        <v>2114</v>
      </c>
    </row>
    <row r="179" spans="1:3">
      <c r="A179" t="s">
        <v>2401</v>
      </c>
      <c r="B179" s="279" t="s">
        <v>1617</v>
      </c>
      <c r="C179" s="280" t="s">
        <v>2115</v>
      </c>
    </row>
    <row r="180" spans="1:3">
      <c r="A180" t="s">
        <v>2430</v>
      </c>
      <c r="B180" s="279" t="s">
        <v>1651</v>
      </c>
      <c r="C180" s="280" t="s">
        <v>413</v>
      </c>
    </row>
    <row r="181" spans="1:3">
      <c r="A181" t="s">
        <v>2401</v>
      </c>
      <c r="B181" s="279" t="s">
        <v>1618</v>
      </c>
      <c r="C181" s="280" t="s">
        <v>2116</v>
      </c>
    </row>
    <row r="182" spans="1:3">
      <c r="A182" t="s">
        <v>2401</v>
      </c>
      <c r="B182" s="279" t="s">
        <v>1619</v>
      </c>
      <c r="C182" s="280" t="s">
        <v>2117</v>
      </c>
    </row>
    <row r="183" spans="1:3">
      <c r="A183" t="s">
        <v>2401</v>
      </c>
      <c r="B183" s="279" t="s">
        <v>1620</v>
      </c>
      <c r="C183" s="280" t="s">
        <v>2118</v>
      </c>
    </row>
    <row r="184" spans="1:3">
      <c r="A184" t="s">
        <v>2401</v>
      </c>
      <c r="B184" s="279" t="s">
        <v>1621</v>
      </c>
      <c r="C184" s="280" t="s">
        <v>2119</v>
      </c>
    </row>
    <row r="185" spans="1:3">
      <c r="A185" t="s">
        <v>2401</v>
      </c>
      <c r="B185" s="279" t="s">
        <v>1622</v>
      </c>
      <c r="C185" s="280" t="s">
        <v>2120</v>
      </c>
    </row>
    <row r="186" spans="1:3">
      <c r="A186" t="s">
        <v>2401</v>
      </c>
      <c r="B186" s="279" t="s">
        <v>1623</v>
      </c>
      <c r="C186" s="280" t="s">
        <v>2121</v>
      </c>
    </row>
    <row r="187" spans="1:3">
      <c r="A187" t="s">
        <v>2401</v>
      </c>
      <c r="B187" s="279" t="s">
        <v>1624</v>
      </c>
      <c r="C187" s="280" t="s">
        <v>2122</v>
      </c>
    </row>
    <row r="188" spans="1:3">
      <c r="A188" t="s">
        <v>2401</v>
      </c>
      <c r="B188" s="279" t="s">
        <v>1625</v>
      </c>
      <c r="C188" s="280" t="s">
        <v>2123</v>
      </c>
    </row>
    <row r="189" spans="1:3">
      <c r="A189" t="s">
        <v>2401</v>
      </c>
      <c r="B189" s="279" t="s">
        <v>1626</v>
      </c>
      <c r="C189" s="280" t="s">
        <v>2124</v>
      </c>
    </row>
    <row r="190" spans="1:3">
      <c r="A190" t="s">
        <v>2401</v>
      </c>
      <c r="B190" s="279" t="s">
        <v>1627</v>
      </c>
      <c r="C190" s="280" t="s">
        <v>2125</v>
      </c>
    </row>
    <row r="191" spans="1:3">
      <c r="A191" t="s">
        <v>2401</v>
      </c>
      <c r="B191" s="279" t="s">
        <v>1628</v>
      </c>
      <c r="C191" s="280" t="s">
        <v>2126</v>
      </c>
    </row>
    <row r="192" spans="1:3">
      <c r="A192" t="s">
        <v>2401</v>
      </c>
      <c r="B192" s="279" t="s">
        <v>1629</v>
      </c>
      <c r="C192" s="280" t="s">
        <v>2127</v>
      </c>
    </row>
    <row r="193" spans="1:3">
      <c r="A193" t="s">
        <v>2401</v>
      </c>
      <c r="B193" s="279" t="s">
        <v>1630</v>
      </c>
      <c r="C193" s="280" t="s">
        <v>2128</v>
      </c>
    </row>
    <row r="194" spans="1:3">
      <c r="A194" t="s">
        <v>2401</v>
      </c>
      <c r="B194" s="279" t="s">
        <v>1631</v>
      </c>
      <c r="C194" s="280" t="s">
        <v>2129</v>
      </c>
    </row>
    <row r="195" spans="1:3">
      <c r="A195" t="s">
        <v>2401</v>
      </c>
      <c r="B195" s="279" t="s">
        <v>1632</v>
      </c>
      <c r="C195" s="280" t="s">
        <v>2130</v>
      </c>
    </row>
    <row r="196" spans="1:3">
      <c r="A196" t="s">
        <v>2401</v>
      </c>
      <c r="B196" s="279" t="s">
        <v>1633</v>
      </c>
      <c r="C196" s="280" t="s">
        <v>2131</v>
      </c>
    </row>
    <row r="197" spans="1:3">
      <c r="A197" t="s">
        <v>2401</v>
      </c>
      <c r="B197" s="279" t="s">
        <v>1634</v>
      </c>
      <c r="C197" s="280" t="s">
        <v>2132</v>
      </c>
    </row>
    <row r="198" spans="1:3">
      <c r="A198" t="s">
        <v>2401</v>
      </c>
      <c r="B198" s="279" t="s">
        <v>1635</v>
      </c>
      <c r="C198" s="280" t="s">
        <v>2133</v>
      </c>
    </row>
    <row r="199" spans="1:3">
      <c r="A199" t="s">
        <v>2401</v>
      </c>
      <c r="B199" s="279" t="s">
        <v>1636</v>
      </c>
      <c r="C199" s="280" t="s">
        <v>2134</v>
      </c>
    </row>
    <row r="200" spans="1:3">
      <c r="A200" t="s">
        <v>2401</v>
      </c>
      <c r="B200" s="279" t="s">
        <v>1637</v>
      </c>
      <c r="C200" s="280" t="s">
        <v>2135</v>
      </c>
    </row>
    <row r="201" spans="1:3">
      <c r="A201" t="s">
        <v>2401</v>
      </c>
      <c r="B201" s="279" t="s">
        <v>1638</v>
      </c>
      <c r="C201" s="280" t="s">
        <v>2136</v>
      </c>
    </row>
    <row r="202" spans="1:3">
      <c r="A202" t="s">
        <v>2401</v>
      </c>
      <c r="B202" s="279" t="s">
        <v>1639</v>
      </c>
      <c r="C202" s="280" t="s">
        <v>2137</v>
      </c>
    </row>
    <row r="203" spans="1:3">
      <c r="A203" t="s">
        <v>2401</v>
      </c>
      <c r="B203" s="279" t="s">
        <v>1640</v>
      </c>
      <c r="C203" s="280" t="s">
        <v>2138</v>
      </c>
    </row>
    <row r="204" spans="1:3">
      <c r="A204" t="s">
        <v>2401</v>
      </c>
      <c r="B204" s="279" t="s">
        <v>1641</v>
      </c>
      <c r="C204" s="280" t="s">
        <v>2139</v>
      </c>
    </row>
    <row r="205" spans="1:3">
      <c r="A205" t="s">
        <v>2368</v>
      </c>
      <c r="B205" s="279" t="s">
        <v>1877</v>
      </c>
      <c r="C205" s="280" t="s">
        <v>1124</v>
      </c>
    </row>
    <row r="206" spans="1:3">
      <c r="A206" t="s">
        <v>2401</v>
      </c>
      <c r="B206" s="279" t="s">
        <v>1642</v>
      </c>
      <c r="C206" s="280" t="s">
        <v>2140</v>
      </c>
    </row>
    <row r="207" spans="1:3">
      <c r="A207" t="s">
        <v>2431</v>
      </c>
      <c r="B207" s="279" t="s">
        <v>1654</v>
      </c>
      <c r="C207" s="280" t="s">
        <v>2141</v>
      </c>
    </row>
    <row r="208" spans="1:3">
      <c r="A208" t="s">
        <v>2368</v>
      </c>
      <c r="B208" s="279" t="s">
        <v>1878</v>
      </c>
      <c r="C208" s="280" t="s">
        <v>2142</v>
      </c>
    </row>
    <row r="209" spans="1:3">
      <c r="A209" t="s">
        <v>2432</v>
      </c>
      <c r="B209" s="279" t="s">
        <v>1907</v>
      </c>
      <c r="C209" s="280" t="s">
        <v>2143</v>
      </c>
    </row>
    <row r="210" spans="1:3">
      <c r="A210" t="s">
        <v>2368</v>
      </c>
      <c r="B210" s="279" t="s">
        <v>1879</v>
      </c>
      <c r="C210" s="280" t="s">
        <v>2144</v>
      </c>
    </row>
    <row r="211" spans="1:3">
      <c r="A211" t="s">
        <v>2368</v>
      </c>
      <c r="B211" s="279" t="s">
        <v>1880</v>
      </c>
      <c r="C211" s="280" t="s">
        <v>2145</v>
      </c>
    </row>
    <row r="212" spans="1:3">
      <c r="A212" t="s">
        <v>2368</v>
      </c>
      <c r="B212" s="279" t="s">
        <v>1881</v>
      </c>
      <c r="C212" s="280" t="s">
        <v>2146</v>
      </c>
    </row>
    <row r="213" spans="1:3">
      <c r="A213" t="s">
        <v>2368</v>
      </c>
      <c r="B213" s="279" t="s">
        <v>1882</v>
      </c>
      <c r="C213" s="280" t="s">
        <v>2147</v>
      </c>
    </row>
    <row r="214" spans="1:3">
      <c r="A214" t="s">
        <v>2368</v>
      </c>
      <c r="B214" s="279" t="s">
        <v>1883</v>
      </c>
      <c r="C214" s="280" t="s">
        <v>2148</v>
      </c>
    </row>
    <row r="215" spans="1:3">
      <c r="A215" t="s">
        <v>2368</v>
      </c>
      <c r="B215" s="279" t="s">
        <v>1884</v>
      </c>
      <c r="C215" s="280" t="s">
        <v>2149</v>
      </c>
    </row>
    <row r="216" spans="1:3">
      <c r="A216" t="s">
        <v>2368</v>
      </c>
      <c r="B216" s="279" t="s">
        <v>1885</v>
      </c>
      <c r="C216" s="280" t="s">
        <v>2150</v>
      </c>
    </row>
    <row r="217" spans="1:3">
      <c r="A217" t="s">
        <v>2433</v>
      </c>
      <c r="B217" s="279" t="s">
        <v>1798</v>
      </c>
      <c r="C217" s="280" t="s">
        <v>2151</v>
      </c>
    </row>
    <row r="218" spans="1:3">
      <c r="A218" t="s">
        <v>2434</v>
      </c>
      <c r="B218" s="279" t="s">
        <v>1560</v>
      </c>
      <c r="C218" s="280" t="s">
        <v>2152</v>
      </c>
    </row>
    <row r="219" spans="1:3">
      <c r="A219" t="s">
        <v>2368</v>
      </c>
      <c r="B219" s="279" t="s">
        <v>1886</v>
      </c>
      <c r="C219" s="280" t="s">
        <v>2153</v>
      </c>
    </row>
    <row r="220" spans="1:3">
      <c r="A220" t="s">
        <v>2368</v>
      </c>
      <c r="B220" s="279" t="s">
        <v>1887</v>
      </c>
      <c r="C220" s="280" t="s">
        <v>2154</v>
      </c>
    </row>
    <row r="221" spans="1:3">
      <c r="A221" t="s">
        <v>2368</v>
      </c>
      <c r="B221" s="279" t="s">
        <v>1888</v>
      </c>
      <c r="C221" s="280" t="s">
        <v>2155</v>
      </c>
    </row>
    <row r="222" spans="1:3">
      <c r="A222" t="s">
        <v>2368</v>
      </c>
      <c r="B222" s="279" t="s">
        <v>1889</v>
      </c>
      <c r="C222" s="280" t="s">
        <v>2156</v>
      </c>
    </row>
    <row r="223" spans="1:3">
      <c r="A223" t="s">
        <v>2368</v>
      </c>
      <c r="B223" s="279" t="s">
        <v>1890</v>
      </c>
      <c r="C223" s="280" t="s">
        <v>2157</v>
      </c>
    </row>
    <row r="224" spans="1:3">
      <c r="A224" t="s">
        <v>2368</v>
      </c>
      <c r="B224" s="279" t="s">
        <v>1891</v>
      </c>
      <c r="C224" s="280" t="s">
        <v>2158</v>
      </c>
    </row>
    <row r="225" spans="1:3">
      <c r="A225" t="s">
        <v>2368</v>
      </c>
      <c r="B225" s="279" t="s">
        <v>1892</v>
      </c>
      <c r="C225" s="280" t="s">
        <v>1098</v>
      </c>
    </row>
    <row r="226" spans="1:3">
      <c r="A226" t="s">
        <v>2401</v>
      </c>
      <c r="B226" s="279" t="s">
        <v>1643</v>
      </c>
      <c r="C226" s="280" t="s">
        <v>2159</v>
      </c>
    </row>
    <row r="227" spans="1:3">
      <c r="A227" t="s">
        <v>2368</v>
      </c>
      <c r="B227" s="279" t="s">
        <v>1893</v>
      </c>
      <c r="C227" s="280" t="s">
        <v>2160</v>
      </c>
    </row>
    <row r="228" spans="1:3">
      <c r="A228" t="s">
        <v>2435</v>
      </c>
      <c r="B228" s="279" t="s">
        <v>1656</v>
      </c>
      <c r="C228" s="280" t="s">
        <v>2161</v>
      </c>
    </row>
    <row r="229" spans="1:3">
      <c r="A229" t="s">
        <v>2436</v>
      </c>
      <c r="B229" s="279" t="s">
        <v>1657</v>
      </c>
      <c r="C229" s="280" t="s">
        <v>2162</v>
      </c>
    </row>
    <row r="230" spans="1:3">
      <c r="A230" t="s">
        <v>2437</v>
      </c>
      <c r="B230" s="279" t="s">
        <v>1934</v>
      </c>
      <c r="C230" s="280" t="s">
        <v>2163</v>
      </c>
    </row>
    <row r="231" spans="1:3">
      <c r="A231" t="s">
        <v>2438</v>
      </c>
      <c r="B231" s="279" t="s">
        <v>1782</v>
      </c>
      <c r="C231" s="280" t="s">
        <v>2164</v>
      </c>
    </row>
    <row r="232" spans="1:3">
      <c r="A232" t="s">
        <v>2368</v>
      </c>
      <c r="B232" s="279" t="s">
        <v>1894</v>
      </c>
      <c r="C232" s="280" t="s">
        <v>2165</v>
      </c>
    </row>
    <row r="233" spans="1:3">
      <c r="A233" t="s">
        <v>2379</v>
      </c>
      <c r="B233" s="279" t="s">
        <v>1788</v>
      </c>
      <c r="C233" s="280" t="s">
        <v>2166</v>
      </c>
    </row>
    <row r="234" spans="1:3">
      <c r="A234" t="s">
        <v>2401</v>
      </c>
      <c r="B234" s="279" t="s">
        <v>1644</v>
      </c>
      <c r="C234" s="280" t="s">
        <v>2167</v>
      </c>
    </row>
    <row r="235" spans="1:3">
      <c r="A235" t="s">
        <v>2439</v>
      </c>
      <c r="B235" s="279" t="s">
        <v>1547</v>
      </c>
      <c r="C235" s="280" t="s">
        <v>2168</v>
      </c>
    </row>
    <row r="236" spans="1:3">
      <c r="A236" t="s">
        <v>2440</v>
      </c>
      <c r="B236" s="279" t="s">
        <v>1579</v>
      </c>
      <c r="C236" s="280" t="s">
        <v>2169</v>
      </c>
    </row>
    <row r="237" spans="1:3">
      <c r="A237" t="s">
        <v>2368</v>
      </c>
      <c r="B237" s="279" t="s">
        <v>1895</v>
      </c>
      <c r="C237" s="280" t="s">
        <v>2170</v>
      </c>
    </row>
    <row r="238" spans="1:3">
      <c r="A238" t="s">
        <v>2403</v>
      </c>
      <c r="B238" s="279" t="s">
        <v>1539</v>
      </c>
      <c r="C238" s="280" t="s">
        <v>2171</v>
      </c>
    </row>
    <row r="239" spans="1:3">
      <c r="A239" t="s">
        <v>2403</v>
      </c>
      <c r="B239" s="279" t="s">
        <v>1540</v>
      </c>
      <c r="C239" s="280" t="s">
        <v>2172</v>
      </c>
    </row>
    <row r="240" spans="1:3">
      <c r="A240" t="s">
        <v>2441</v>
      </c>
      <c r="B240" s="279" t="s">
        <v>1655</v>
      </c>
      <c r="C240" s="280" t="s">
        <v>2173</v>
      </c>
    </row>
    <row r="241" spans="1:3">
      <c r="A241" t="s">
        <v>2442</v>
      </c>
      <c r="B241" s="279" t="s">
        <v>1658</v>
      </c>
      <c r="C241" s="280" t="s">
        <v>2174</v>
      </c>
    </row>
    <row r="242" spans="1:3">
      <c r="A242" t="s">
        <v>2443</v>
      </c>
      <c r="B242" s="279" t="s">
        <v>1772</v>
      </c>
      <c r="C242" s="280" t="s">
        <v>2175</v>
      </c>
    </row>
    <row r="243" spans="1:3">
      <c r="A243" t="s">
        <v>2444</v>
      </c>
      <c r="B243" s="279" t="s">
        <v>1932</v>
      </c>
      <c r="C243" s="280" t="s">
        <v>2176</v>
      </c>
    </row>
    <row r="244" spans="1:3">
      <c r="A244" t="s">
        <v>2445</v>
      </c>
      <c r="B244" s="279" t="s">
        <v>1935</v>
      </c>
      <c r="C244" s="280" t="s">
        <v>2177</v>
      </c>
    </row>
    <row r="245" spans="1:3">
      <c r="A245" t="s">
        <v>2368</v>
      </c>
      <c r="B245" s="279" t="s">
        <v>1896</v>
      </c>
      <c r="C245" s="280" t="s">
        <v>2178</v>
      </c>
    </row>
    <row r="246" spans="1:3">
      <c r="A246" t="s">
        <v>2446</v>
      </c>
      <c r="B246" s="279" t="s">
        <v>1561</v>
      </c>
      <c r="C246" s="280" t="s">
        <v>2179</v>
      </c>
    </row>
    <row r="247" spans="1:3">
      <c r="A247" t="s">
        <v>2447</v>
      </c>
      <c r="B247" s="279" t="s">
        <v>1548</v>
      </c>
      <c r="C247" s="280" t="s">
        <v>2180</v>
      </c>
    </row>
    <row r="248" spans="1:3">
      <c r="A248" t="s">
        <v>2368</v>
      </c>
      <c r="B248" s="279" t="s">
        <v>1897</v>
      </c>
      <c r="C248" s="280" t="s">
        <v>2181</v>
      </c>
    </row>
    <row r="249" spans="1:3">
      <c r="A249" t="s">
        <v>2368</v>
      </c>
      <c r="B249" s="279" t="s">
        <v>1898</v>
      </c>
      <c r="C249" s="280" t="s">
        <v>2182</v>
      </c>
    </row>
    <row r="250" spans="1:3">
      <c r="A250" t="s">
        <v>2448</v>
      </c>
      <c r="B250" s="279" t="s">
        <v>1784</v>
      </c>
      <c r="C250" s="280" t="s">
        <v>2183</v>
      </c>
    </row>
    <row r="251" spans="1:3">
      <c r="A251" t="s">
        <v>2449</v>
      </c>
      <c r="B251" s="279" t="s">
        <v>1785</v>
      </c>
      <c r="C251" s="280" t="s">
        <v>2184</v>
      </c>
    </row>
    <row r="252" spans="1:3">
      <c r="A252" t="s">
        <v>2368</v>
      </c>
      <c r="B252" s="279" t="s">
        <v>1899</v>
      </c>
      <c r="C252" s="280" t="s">
        <v>2185</v>
      </c>
    </row>
    <row r="253" spans="1:3">
      <c r="A253" t="s">
        <v>2368</v>
      </c>
      <c r="B253" s="279" t="s">
        <v>1900</v>
      </c>
      <c r="C253" s="280" t="s">
        <v>2186</v>
      </c>
    </row>
    <row r="254" spans="1:3">
      <c r="A254" t="s">
        <v>2403</v>
      </c>
      <c r="B254" s="279" t="s">
        <v>1541</v>
      </c>
      <c r="C254" s="280" t="s">
        <v>2187</v>
      </c>
    </row>
    <row r="255" spans="1:3">
      <c r="A255" t="s">
        <v>2403</v>
      </c>
      <c r="B255" s="279" t="s">
        <v>1542</v>
      </c>
      <c r="C255" s="280" t="s">
        <v>2188</v>
      </c>
    </row>
    <row r="256" spans="1:3">
      <c r="A256" t="s">
        <v>2450</v>
      </c>
      <c r="B256" s="279" t="s">
        <v>1587</v>
      </c>
      <c r="C256" s="280" t="s">
        <v>2189</v>
      </c>
    </row>
    <row r="257" spans="1:3">
      <c r="A257" t="s">
        <v>2450</v>
      </c>
      <c r="B257" s="279" t="s">
        <v>1588</v>
      </c>
      <c r="C257" s="280" t="s">
        <v>2190</v>
      </c>
    </row>
    <row r="258" spans="1:3">
      <c r="A258" t="s">
        <v>2450</v>
      </c>
      <c r="B258" s="279" t="s">
        <v>1589</v>
      </c>
      <c r="C258" s="280" t="s">
        <v>2191</v>
      </c>
    </row>
    <row r="259" spans="1:3">
      <c r="A259" t="s">
        <v>2450</v>
      </c>
      <c r="B259" s="279" t="s">
        <v>1590</v>
      </c>
      <c r="C259" s="280" t="s">
        <v>2192</v>
      </c>
    </row>
    <row r="260" spans="1:3">
      <c r="A260" t="s">
        <v>2450</v>
      </c>
      <c r="B260" s="279" t="s">
        <v>1591</v>
      </c>
      <c r="C260" s="280" t="s">
        <v>2193</v>
      </c>
    </row>
    <row r="261" spans="1:3">
      <c r="A261" t="s">
        <v>2401</v>
      </c>
      <c r="B261" s="279" t="s">
        <v>1645</v>
      </c>
      <c r="C261" s="280" t="s">
        <v>2194</v>
      </c>
    </row>
    <row r="262" spans="1:3">
      <c r="A262" t="s">
        <v>2377</v>
      </c>
      <c r="B262" s="279" t="s">
        <v>1775</v>
      </c>
      <c r="C262" s="280" t="s">
        <v>2195</v>
      </c>
    </row>
    <row r="263" spans="1:3">
      <c r="A263" t="s">
        <v>2451</v>
      </c>
      <c r="B263" s="279" t="s">
        <v>1583</v>
      </c>
      <c r="C263" s="280" t="s">
        <v>2196</v>
      </c>
    </row>
    <row r="264" spans="1:3">
      <c r="A264" t="s">
        <v>2452</v>
      </c>
      <c r="B264" s="279" t="s">
        <v>1763</v>
      </c>
      <c r="C264" s="280" t="s">
        <v>2197</v>
      </c>
    </row>
    <row r="265" spans="1:3">
      <c r="A265" t="s">
        <v>2453</v>
      </c>
      <c r="B265" s="279" t="s">
        <v>1764</v>
      </c>
      <c r="C265" s="280" t="s">
        <v>2198</v>
      </c>
    </row>
    <row r="266" spans="1:3">
      <c r="A266" t="s">
        <v>2454</v>
      </c>
      <c r="B266" s="279" t="s">
        <v>1765</v>
      </c>
      <c r="C266" s="280" t="s">
        <v>2199</v>
      </c>
    </row>
    <row r="267" spans="1:3">
      <c r="A267" t="s">
        <v>2455</v>
      </c>
      <c r="B267" s="279" t="s">
        <v>1766</v>
      </c>
      <c r="C267" s="280" t="s">
        <v>2200</v>
      </c>
    </row>
    <row r="268" spans="1:3">
      <c r="A268" t="s">
        <v>2456</v>
      </c>
      <c r="B268" s="279" t="s">
        <v>1767</v>
      </c>
      <c r="C268" s="280" t="s">
        <v>2201</v>
      </c>
    </row>
    <row r="269" spans="1:3">
      <c r="A269" t="s">
        <v>2457</v>
      </c>
      <c r="B269" s="279" t="s">
        <v>1926</v>
      </c>
      <c r="C269" s="280" t="s">
        <v>2202</v>
      </c>
    </row>
    <row r="270" spans="1:3">
      <c r="A270" t="s">
        <v>2458</v>
      </c>
      <c r="B270" s="279" t="s">
        <v>1927</v>
      </c>
      <c r="C270" s="280" t="s">
        <v>2203</v>
      </c>
    </row>
    <row r="271" spans="1:3">
      <c r="A271" t="s">
        <v>2459</v>
      </c>
      <c r="B271" s="279" t="s">
        <v>1649</v>
      </c>
      <c r="C271" s="280" t="s">
        <v>2204</v>
      </c>
    </row>
    <row r="272" spans="1:3">
      <c r="A272" t="s">
        <v>2460</v>
      </c>
      <c r="B272" s="279" t="s">
        <v>1648</v>
      </c>
      <c r="C272" s="280" t="s">
        <v>2205</v>
      </c>
    </row>
    <row r="273" spans="1:3">
      <c r="A273" t="s">
        <v>2461</v>
      </c>
      <c r="B273" s="279" t="s">
        <v>1593</v>
      </c>
      <c r="C273" s="280" t="s">
        <v>2206</v>
      </c>
    </row>
    <row r="274" spans="1:3">
      <c r="A274" t="s">
        <v>2401</v>
      </c>
      <c r="B274" s="279" t="s">
        <v>1646</v>
      </c>
      <c r="C274" s="280" t="s">
        <v>2207</v>
      </c>
    </row>
    <row r="275" spans="1:3">
      <c r="A275" t="s">
        <v>2401</v>
      </c>
      <c r="B275" s="279" t="s">
        <v>1647</v>
      </c>
      <c r="C275" s="280" t="s">
        <v>2208</v>
      </c>
    </row>
    <row r="276" spans="1:3">
      <c r="A276" t="s">
        <v>2459</v>
      </c>
      <c r="B276" s="279" t="s">
        <v>1650</v>
      </c>
      <c r="C276" s="280" t="s">
        <v>2209</v>
      </c>
    </row>
    <row r="277" spans="1:3">
      <c r="A277" t="s">
        <v>2456</v>
      </c>
      <c r="B277" s="279" t="s">
        <v>1768</v>
      </c>
      <c r="C277" s="280" t="s">
        <v>2210</v>
      </c>
    </row>
    <row r="278" spans="1:3">
      <c r="A278" t="s">
        <v>2462</v>
      </c>
      <c r="B278" s="279" t="s">
        <v>1911</v>
      </c>
      <c r="C278" s="280" t="s">
        <v>2211</v>
      </c>
    </row>
    <row r="279" spans="1:3">
      <c r="A279" t="s">
        <v>2463</v>
      </c>
      <c r="B279" s="279" t="s">
        <v>1928</v>
      </c>
      <c r="C279" s="280" t="s">
        <v>2212</v>
      </c>
    </row>
    <row r="280" spans="1:3">
      <c r="A280" t="s">
        <v>2464</v>
      </c>
      <c r="B280" s="279" t="s">
        <v>1910</v>
      </c>
      <c r="C280" s="280" t="s">
        <v>2213</v>
      </c>
    </row>
    <row r="281" spans="1:3">
      <c r="A281" t="s">
        <v>2465</v>
      </c>
      <c r="B281" s="279" t="s">
        <v>1929</v>
      </c>
      <c r="C281" s="280" t="s">
        <v>2214</v>
      </c>
    </row>
    <row r="282" spans="1:3">
      <c r="A282" t="s">
        <v>2466</v>
      </c>
      <c r="B282" s="279" t="s">
        <v>1594</v>
      </c>
      <c r="C282" s="280" t="s">
        <v>2215</v>
      </c>
    </row>
    <row r="283" spans="1:3">
      <c r="A283" t="s">
        <v>2467</v>
      </c>
      <c r="B283" s="279" t="s">
        <v>1569</v>
      </c>
      <c r="C283" s="280" t="s">
        <v>2216</v>
      </c>
    </row>
    <row r="284" spans="1:3">
      <c r="A284" t="s">
        <v>2468</v>
      </c>
      <c r="B284" s="279" t="s">
        <v>1933</v>
      </c>
      <c r="C284" s="280" t="s">
        <v>2217</v>
      </c>
    </row>
    <row r="285" spans="1:3">
      <c r="A285" t="s">
        <v>2469</v>
      </c>
      <c r="B285" s="279" t="s">
        <v>1930</v>
      </c>
      <c r="C285" s="280" t="s">
        <v>2218</v>
      </c>
    </row>
    <row r="286" spans="1:3">
      <c r="A286" t="s">
        <v>2368</v>
      </c>
      <c r="B286" s="279" t="s">
        <v>1936</v>
      </c>
      <c r="C286" s="280" t="s">
        <v>2219</v>
      </c>
    </row>
    <row r="287" spans="1:3">
      <c r="A287" t="s">
        <v>2368</v>
      </c>
      <c r="B287" s="279" t="s">
        <v>1966</v>
      </c>
      <c r="C287" s="280" t="s">
        <v>2220</v>
      </c>
    </row>
    <row r="288" spans="1:3">
      <c r="A288" t="s">
        <v>2470</v>
      </c>
      <c r="B288" s="279" t="s">
        <v>1967</v>
      </c>
      <c r="C288" s="286" t="s">
        <v>2221</v>
      </c>
    </row>
    <row r="289" spans="1:3">
      <c r="A289" t="s">
        <v>2397</v>
      </c>
      <c r="B289" s="279" t="s">
        <v>1968</v>
      </c>
      <c r="C289" s="280" t="s">
        <v>2222</v>
      </c>
    </row>
    <row r="290" spans="1:3">
      <c r="A290" t="s">
        <v>2471</v>
      </c>
      <c r="B290" s="279" t="s">
        <v>1970</v>
      </c>
      <c r="C290" s="280" t="s">
        <v>2223</v>
      </c>
    </row>
    <row r="291" spans="1:3">
      <c r="A291" t="s">
        <v>2472</v>
      </c>
      <c r="B291" s="279" t="s">
        <v>1969</v>
      </c>
      <c r="C291" s="280" t="s">
        <v>2224</v>
      </c>
    </row>
    <row r="292" spans="1:3">
      <c r="A292" t="s">
        <v>2473</v>
      </c>
      <c r="B292" s="279" t="s">
        <v>1771</v>
      </c>
      <c r="C292" s="280" t="s">
        <v>2225</v>
      </c>
    </row>
    <row r="293" spans="1:3">
      <c r="A293" t="s">
        <v>2474</v>
      </c>
      <c r="B293" s="279" t="s">
        <v>1909</v>
      </c>
      <c r="C293" s="280" t="s">
        <v>2226</v>
      </c>
    </row>
    <row r="294" spans="1:3">
      <c r="A294" t="s">
        <v>2475</v>
      </c>
      <c r="B294" s="279" t="s">
        <v>1665</v>
      </c>
      <c r="C294" s="280" t="s">
        <v>2227</v>
      </c>
    </row>
    <row r="295" spans="1:3">
      <c r="A295" t="s">
        <v>2476</v>
      </c>
      <c r="B295" s="279" t="s">
        <v>1666</v>
      </c>
      <c r="C295" s="280" t="s">
        <v>2228</v>
      </c>
    </row>
    <row r="296" spans="1:3">
      <c r="A296" t="s">
        <v>2477</v>
      </c>
      <c r="B296" s="279" t="s">
        <v>1667</v>
      </c>
      <c r="C296" s="280" t="s">
        <v>2229</v>
      </c>
    </row>
    <row r="297" spans="1:3">
      <c r="A297" t="s">
        <v>2478</v>
      </c>
      <c r="B297" s="279" t="s">
        <v>1668</v>
      </c>
      <c r="C297" s="280" t="s">
        <v>2230</v>
      </c>
    </row>
    <row r="298" spans="1:3">
      <c r="A298" t="s">
        <v>2479</v>
      </c>
      <c r="B298" s="279" t="s">
        <v>1669</v>
      </c>
      <c r="C298" s="280" t="s">
        <v>2231</v>
      </c>
    </row>
    <row r="299" spans="1:3">
      <c r="A299" t="s">
        <v>2479</v>
      </c>
      <c r="B299" s="279" t="s">
        <v>1670</v>
      </c>
      <c r="C299" s="280" t="s">
        <v>2232</v>
      </c>
    </row>
    <row r="300" spans="1:3">
      <c r="A300" t="s">
        <v>2479</v>
      </c>
      <c r="B300" s="279" t="s">
        <v>1671</v>
      </c>
      <c r="C300" s="280" t="s">
        <v>2233</v>
      </c>
    </row>
    <row r="301" spans="1:3">
      <c r="A301" t="s">
        <v>2479</v>
      </c>
      <c r="B301" s="279" t="s">
        <v>1672</v>
      </c>
      <c r="C301" s="280" t="s">
        <v>2234</v>
      </c>
    </row>
    <row r="302" spans="1:3">
      <c r="A302" t="s">
        <v>2479</v>
      </c>
      <c r="B302" s="279" t="s">
        <v>1673</v>
      </c>
      <c r="C302" s="280" t="s">
        <v>2235</v>
      </c>
    </row>
    <row r="303" spans="1:3">
      <c r="A303" t="s">
        <v>2479</v>
      </c>
      <c r="B303" s="279" t="s">
        <v>1674</v>
      </c>
      <c r="C303" s="280" t="s">
        <v>2236</v>
      </c>
    </row>
    <row r="304" spans="1:3">
      <c r="A304" t="s">
        <v>2479</v>
      </c>
      <c r="B304" s="279" t="s">
        <v>1675</v>
      </c>
      <c r="C304" s="280" t="s">
        <v>2237</v>
      </c>
    </row>
    <row r="305" spans="1:3">
      <c r="A305" t="s">
        <v>2479</v>
      </c>
      <c r="B305" s="279" t="s">
        <v>1676</v>
      </c>
      <c r="C305" s="280" t="s">
        <v>2238</v>
      </c>
    </row>
    <row r="306" spans="1:3">
      <c r="A306" t="s">
        <v>2479</v>
      </c>
      <c r="B306" s="279" t="s">
        <v>1677</v>
      </c>
      <c r="C306" s="280" t="s">
        <v>2239</v>
      </c>
    </row>
    <row r="307" spans="1:3">
      <c r="A307" t="s">
        <v>2480</v>
      </c>
      <c r="B307" s="279" t="s">
        <v>1678</v>
      </c>
      <c r="C307" s="280" t="s">
        <v>2240</v>
      </c>
    </row>
    <row r="308" spans="1:3">
      <c r="A308" t="s">
        <v>2481</v>
      </c>
      <c r="B308" s="279" t="s">
        <v>1679</v>
      </c>
      <c r="C308" s="280" t="s">
        <v>2241</v>
      </c>
    </row>
    <row r="309" spans="1:3">
      <c r="A309" t="s">
        <v>2481</v>
      </c>
      <c r="B309" s="279" t="s">
        <v>1680</v>
      </c>
      <c r="C309" s="280" t="s">
        <v>2242</v>
      </c>
    </row>
    <row r="310" spans="1:3">
      <c r="A310" t="s">
        <v>2481</v>
      </c>
      <c r="B310" s="279" t="s">
        <v>1681</v>
      </c>
      <c r="C310" s="280" t="s">
        <v>2243</v>
      </c>
    </row>
    <row r="311" spans="1:3">
      <c r="A311" t="s">
        <v>2481</v>
      </c>
      <c r="B311" s="279" t="s">
        <v>1682</v>
      </c>
      <c r="C311" s="280" t="s">
        <v>2244</v>
      </c>
    </row>
    <row r="312" spans="1:3">
      <c r="A312" t="s">
        <v>2482</v>
      </c>
      <c r="B312" s="279" t="s">
        <v>1683</v>
      </c>
      <c r="C312" s="280" t="s">
        <v>2245</v>
      </c>
    </row>
    <row r="313" spans="1:3">
      <c r="A313" t="s">
        <v>2483</v>
      </c>
      <c r="B313" s="279" t="s">
        <v>1684</v>
      </c>
      <c r="C313" s="280" t="s">
        <v>2246</v>
      </c>
    </row>
    <row r="314" spans="1:3">
      <c r="A314" t="s">
        <v>2484</v>
      </c>
      <c r="B314" s="279" t="s">
        <v>1685</v>
      </c>
      <c r="C314" s="280" t="s">
        <v>2247</v>
      </c>
    </row>
    <row r="315" spans="1:3">
      <c r="A315" t="s">
        <v>2484</v>
      </c>
      <c r="B315" s="279" t="s">
        <v>1686</v>
      </c>
      <c r="C315" s="280" t="s">
        <v>2248</v>
      </c>
    </row>
    <row r="316" spans="1:3">
      <c r="A316" t="s">
        <v>2485</v>
      </c>
      <c r="B316" s="279" t="s">
        <v>1687</v>
      </c>
      <c r="C316" s="280" t="s">
        <v>2249</v>
      </c>
    </row>
    <row r="317" spans="1:3">
      <c r="A317" t="s">
        <v>2486</v>
      </c>
      <c r="B317" s="279" t="s">
        <v>1688</v>
      </c>
      <c r="C317" s="280" t="s">
        <v>2250</v>
      </c>
    </row>
    <row r="318" spans="1:3">
      <c r="A318" t="s">
        <v>2487</v>
      </c>
      <c r="B318" s="279" t="s">
        <v>1689</v>
      </c>
      <c r="C318" s="280" t="s">
        <v>2251</v>
      </c>
    </row>
    <row r="319" spans="1:3">
      <c r="A319" t="s">
        <v>2488</v>
      </c>
      <c r="B319" s="279" t="s">
        <v>1690</v>
      </c>
      <c r="C319" s="280" t="s">
        <v>2252</v>
      </c>
    </row>
    <row r="320" spans="1:3">
      <c r="A320" t="s">
        <v>2488</v>
      </c>
      <c r="B320" s="279" t="s">
        <v>1691</v>
      </c>
      <c r="C320" s="280" t="s">
        <v>2253</v>
      </c>
    </row>
    <row r="321" spans="1:3">
      <c r="A321" t="s">
        <v>2488</v>
      </c>
      <c r="B321" s="279" t="s">
        <v>1692</v>
      </c>
      <c r="C321" s="280" t="s">
        <v>2254</v>
      </c>
    </row>
    <row r="322" spans="1:3">
      <c r="A322" t="s">
        <v>2488</v>
      </c>
      <c r="B322" s="279" t="s">
        <v>1693</v>
      </c>
      <c r="C322" s="280" t="s">
        <v>2255</v>
      </c>
    </row>
    <row r="323" spans="1:3">
      <c r="A323" t="s">
        <v>2488</v>
      </c>
      <c r="B323" s="279" t="s">
        <v>1694</v>
      </c>
      <c r="C323" s="280" t="s">
        <v>2256</v>
      </c>
    </row>
    <row r="324" spans="1:3">
      <c r="A324" t="s">
        <v>2488</v>
      </c>
      <c r="B324" s="279" t="s">
        <v>1695</v>
      </c>
      <c r="C324" s="280" t="s">
        <v>2257</v>
      </c>
    </row>
    <row r="325" spans="1:3">
      <c r="A325" t="s">
        <v>2488</v>
      </c>
      <c r="B325" s="279" t="s">
        <v>1696</v>
      </c>
      <c r="C325" s="280" t="s">
        <v>2258</v>
      </c>
    </row>
    <row r="326" spans="1:3">
      <c r="A326" t="s">
        <v>2488</v>
      </c>
      <c r="B326" s="279" t="s">
        <v>1697</v>
      </c>
      <c r="C326" s="280" t="s">
        <v>2259</v>
      </c>
    </row>
    <row r="327" spans="1:3">
      <c r="A327" t="s">
        <v>2489</v>
      </c>
      <c r="B327" s="279" t="s">
        <v>1700</v>
      </c>
      <c r="C327" s="280" t="s">
        <v>2260</v>
      </c>
    </row>
    <row r="328" spans="1:3">
      <c r="A328" t="s">
        <v>2490</v>
      </c>
      <c r="B328" s="279" t="s">
        <v>1698</v>
      </c>
      <c r="C328" s="280" t="s">
        <v>2261</v>
      </c>
    </row>
    <row r="329" spans="1:3">
      <c r="A329" t="s">
        <v>2490</v>
      </c>
      <c r="B329" s="279" t="s">
        <v>1699</v>
      </c>
      <c r="C329" s="280" t="s">
        <v>2262</v>
      </c>
    </row>
    <row r="330" spans="1:3">
      <c r="A330" t="s">
        <v>2491</v>
      </c>
      <c r="B330" s="279" t="s">
        <v>1701</v>
      </c>
      <c r="C330" s="280" t="s">
        <v>2263</v>
      </c>
    </row>
    <row r="331" spans="1:3">
      <c r="A331" t="s">
        <v>2492</v>
      </c>
      <c r="B331" s="279" t="s">
        <v>1702</v>
      </c>
      <c r="C331" s="280" t="s">
        <v>2264</v>
      </c>
    </row>
    <row r="332" spans="1:3">
      <c r="A332" t="s">
        <v>2493</v>
      </c>
      <c r="B332" s="279" t="s">
        <v>1703</v>
      </c>
      <c r="C332" s="280" t="s">
        <v>2265</v>
      </c>
    </row>
    <row r="333" spans="1:3">
      <c r="A333" t="s">
        <v>2494</v>
      </c>
      <c r="B333" s="279" t="s">
        <v>1937</v>
      </c>
      <c r="C333" s="280" t="s">
        <v>2266</v>
      </c>
    </row>
    <row r="334" spans="1:3">
      <c r="A334" t="s">
        <v>2495</v>
      </c>
      <c r="B334" s="279" t="s">
        <v>1938</v>
      </c>
      <c r="C334" s="280" t="s">
        <v>2267</v>
      </c>
    </row>
    <row r="335" spans="1:3">
      <c r="A335" t="s">
        <v>2496</v>
      </c>
      <c r="B335" s="279" t="s">
        <v>1664</v>
      </c>
      <c r="C335" s="280" t="s">
        <v>2268</v>
      </c>
    </row>
    <row r="336" spans="1:3">
      <c r="A336" t="s">
        <v>2368</v>
      </c>
      <c r="B336" s="279" t="s">
        <v>1901</v>
      </c>
      <c r="C336" s="280" t="s">
        <v>2269</v>
      </c>
    </row>
    <row r="337" spans="1:3">
      <c r="A337" t="s">
        <v>2368</v>
      </c>
      <c r="B337" s="279" t="s">
        <v>1902</v>
      </c>
      <c r="C337" s="280" t="s">
        <v>2270</v>
      </c>
    </row>
    <row r="338" spans="1:3">
      <c r="A338" t="s">
        <v>2497</v>
      </c>
      <c r="B338" s="279" t="s">
        <v>1939</v>
      </c>
      <c r="C338" s="280" t="s">
        <v>2271</v>
      </c>
    </row>
    <row r="339" spans="1:3">
      <c r="A339" t="s">
        <v>2368</v>
      </c>
      <c r="B339" s="279" t="s">
        <v>1903</v>
      </c>
      <c r="C339" s="280" t="s">
        <v>2272</v>
      </c>
    </row>
    <row r="340" spans="1:3">
      <c r="A340" t="s">
        <v>2494</v>
      </c>
      <c r="B340" s="279" t="s">
        <v>1961</v>
      </c>
      <c r="C340" s="280" t="s">
        <v>2273</v>
      </c>
    </row>
    <row r="341" spans="1:3">
      <c r="A341" t="s">
        <v>2498</v>
      </c>
      <c r="B341" s="279" t="s">
        <v>1582</v>
      </c>
      <c r="C341" s="280" t="s">
        <v>2274</v>
      </c>
    </row>
    <row r="342" spans="1:3">
      <c r="A342" t="s">
        <v>2403</v>
      </c>
      <c r="B342" s="279" t="s">
        <v>1543</v>
      </c>
      <c r="C342" s="280" t="s">
        <v>2275</v>
      </c>
    </row>
    <row r="343" spans="1:3">
      <c r="A343" t="s">
        <v>2499</v>
      </c>
      <c r="B343" s="279" t="s">
        <v>1789</v>
      </c>
      <c r="C343" s="280" t="s">
        <v>2276</v>
      </c>
    </row>
    <row r="344" spans="1:3">
      <c r="A344" t="s">
        <v>2500</v>
      </c>
      <c r="B344" s="279" t="s">
        <v>1964</v>
      </c>
      <c r="C344" s="280" t="s">
        <v>2277</v>
      </c>
    </row>
    <row r="345" spans="1:3">
      <c r="A345" t="s">
        <v>2501</v>
      </c>
      <c r="B345" s="279" t="s">
        <v>1962</v>
      </c>
      <c r="C345" s="280" t="s">
        <v>2278</v>
      </c>
    </row>
    <row r="346" spans="1:3">
      <c r="A346" t="s">
        <v>2374</v>
      </c>
      <c r="B346" s="279" t="s">
        <v>1779</v>
      </c>
      <c r="C346" s="280" t="s">
        <v>2279</v>
      </c>
    </row>
    <row r="347" spans="1:3">
      <c r="A347" t="s">
        <v>2501</v>
      </c>
      <c r="B347" s="279" t="s">
        <v>1773</v>
      </c>
      <c r="C347" s="280" t="s">
        <v>2280</v>
      </c>
    </row>
    <row r="348" spans="1:3">
      <c r="A348" t="s">
        <v>2502</v>
      </c>
      <c r="B348" s="279" t="s">
        <v>1786</v>
      </c>
      <c r="C348" s="280" t="s">
        <v>601</v>
      </c>
    </row>
    <row r="349" spans="1:3">
      <c r="A349" t="s">
        <v>2503</v>
      </c>
      <c r="B349" s="279" t="s">
        <v>1783</v>
      </c>
      <c r="C349" s="280" t="s">
        <v>2281</v>
      </c>
    </row>
    <row r="350" spans="1:3">
      <c r="A350" t="s">
        <v>2450</v>
      </c>
      <c r="B350" s="279" t="s">
        <v>1592</v>
      </c>
      <c r="C350" s="280" t="s">
        <v>423</v>
      </c>
    </row>
    <row r="351" spans="1:3">
      <c r="A351" t="s">
        <v>2504</v>
      </c>
      <c r="B351" s="279" t="s">
        <v>1778</v>
      </c>
      <c r="C351" s="280" t="s">
        <v>2282</v>
      </c>
    </row>
    <row r="352" spans="1:3">
      <c r="A352" t="s">
        <v>2505</v>
      </c>
      <c r="B352" s="279" t="s">
        <v>1576</v>
      </c>
      <c r="C352" s="280" t="s">
        <v>2283</v>
      </c>
    </row>
    <row r="353" spans="1:3">
      <c r="A353" t="s">
        <v>2368</v>
      </c>
      <c r="B353" s="279" t="s">
        <v>1904</v>
      </c>
      <c r="C353" s="280" t="s">
        <v>2284</v>
      </c>
    </row>
    <row r="354" spans="1:3">
      <c r="A354" t="s">
        <v>2506</v>
      </c>
      <c r="B354" s="279" t="s">
        <v>1581</v>
      </c>
      <c r="C354" s="280" t="s">
        <v>2285</v>
      </c>
    </row>
    <row r="355" spans="1:3">
      <c r="A355" t="s">
        <v>2507</v>
      </c>
      <c r="B355" s="279" t="s">
        <v>1941</v>
      </c>
      <c r="C355" s="281" t="s">
        <v>2286</v>
      </c>
    </row>
    <row r="356" spans="1:3">
      <c r="A356" t="s">
        <v>2507</v>
      </c>
      <c r="B356" s="279" t="s">
        <v>1942</v>
      </c>
      <c r="C356" s="281" t="s">
        <v>2287</v>
      </c>
    </row>
    <row r="357" spans="1:3">
      <c r="A357" t="s">
        <v>2507</v>
      </c>
      <c r="B357" s="279" t="s">
        <v>1943</v>
      </c>
      <c r="C357" s="281" t="s">
        <v>2288</v>
      </c>
    </row>
    <row r="358" spans="1:3">
      <c r="A358" t="s">
        <v>2507</v>
      </c>
      <c r="B358" s="279" t="s">
        <v>1944</v>
      </c>
      <c r="C358" s="281" t="s">
        <v>2289</v>
      </c>
    </row>
    <row r="359" spans="1:3">
      <c r="A359" t="s">
        <v>2508</v>
      </c>
      <c r="B359" s="279" t="s">
        <v>1945</v>
      </c>
      <c r="C359" s="281" t="s">
        <v>2290</v>
      </c>
    </row>
    <row r="360" spans="1:3">
      <c r="A360" t="s">
        <v>2509</v>
      </c>
      <c r="B360" s="279" t="s">
        <v>1946</v>
      </c>
      <c r="C360" s="281" t="s">
        <v>2291</v>
      </c>
    </row>
    <row r="361" spans="1:3">
      <c r="A361" t="s">
        <v>2510</v>
      </c>
      <c r="B361" s="279" t="s">
        <v>1947</v>
      </c>
      <c r="C361" s="281" t="s">
        <v>2292</v>
      </c>
    </row>
    <row r="362" spans="1:3">
      <c r="A362" t="s">
        <v>2511</v>
      </c>
      <c r="B362" s="279" t="s">
        <v>1948</v>
      </c>
      <c r="C362" s="281" t="s">
        <v>2293</v>
      </c>
    </row>
    <row r="363" spans="1:3">
      <c r="A363" t="s">
        <v>2512</v>
      </c>
      <c r="B363" s="279" t="s">
        <v>1949</v>
      </c>
      <c r="C363" s="281" t="s">
        <v>2294</v>
      </c>
    </row>
    <row r="364" spans="1:3">
      <c r="A364" t="s">
        <v>2513</v>
      </c>
      <c r="B364" s="279" t="s">
        <v>1950</v>
      </c>
      <c r="C364" s="281" t="s">
        <v>2295</v>
      </c>
    </row>
    <row r="365" spans="1:3">
      <c r="A365" t="s">
        <v>2514</v>
      </c>
      <c r="B365" s="279" t="s">
        <v>1951</v>
      </c>
      <c r="C365" s="281" t="s">
        <v>2296</v>
      </c>
    </row>
    <row r="366" spans="1:3">
      <c r="A366" t="s">
        <v>2515</v>
      </c>
      <c r="B366" s="279" t="s">
        <v>1952</v>
      </c>
      <c r="C366" s="281" t="s">
        <v>2297</v>
      </c>
    </row>
    <row r="367" spans="1:3">
      <c r="A367" t="s">
        <v>2516</v>
      </c>
      <c r="B367" s="279" t="s">
        <v>1953</v>
      </c>
      <c r="C367" s="281" t="s">
        <v>2298</v>
      </c>
    </row>
    <row r="368" spans="1:3">
      <c r="A368" t="s">
        <v>2517</v>
      </c>
      <c r="B368" s="279" t="s">
        <v>1954</v>
      </c>
      <c r="C368" s="281" t="s">
        <v>2299</v>
      </c>
    </row>
    <row r="369" spans="1:3">
      <c r="A369" t="s">
        <v>2518</v>
      </c>
      <c r="B369" s="279" t="s">
        <v>1955</v>
      </c>
      <c r="C369" s="281" t="s">
        <v>2300</v>
      </c>
    </row>
    <row r="370" spans="1:3">
      <c r="A370" t="s">
        <v>2519</v>
      </c>
      <c r="B370" s="279" t="s">
        <v>1956</v>
      </c>
      <c r="C370" s="281" t="s">
        <v>2301</v>
      </c>
    </row>
    <row r="371" spans="1:3">
      <c r="A371" t="s">
        <v>2520</v>
      </c>
      <c r="B371" s="279" t="s">
        <v>1957</v>
      </c>
      <c r="C371" s="281" t="s">
        <v>2302</v>
      </c>
    </row>
    <row r="372" spans="1:3">
      <c r="A372" t="s">
        <v>2521</v>
      </c>
      <c r="B372" s="279" t="s">
        <v>1958</v>
      </c>
      <c r="C372" s="281" t="s">
        <v>2303</v>
      </c>
    </row>
    <row r="373" spans="1:3">
      <c r="A373" t="s">
        <v>2521</v>
      </c>
      <c r="B373" s="279" t="s">
        <v>1959</v>
      </c>
      <c r="C373" s="281" t="s">
        <v>2304</v>
      </c>
    </row>
    <row r="374" spans="1:3">
      <c r="A374" t="s">
        <v>2522</v>
      </c>
      <c r="B374" s="279" t="s">
        <v>1960</v>
      </c>
      <c r="C374" s="281" t="s">
        <v>2305</v>
      </c>
    </row>
    <row r="375" spans="1:3">
      <c r="A375" t="s">
        <v>2523</v>
      </c>
      <c r="B375" s="279" t="s">
        <v>1704</v>
      </c>
      <c r="C375" s="280" t="s">
        <v>2306</v>
      </c>
    </row>
    <row r="376" spans="1:3">
      <c r="A376" t="s">
        <v>2524</v>
      </c>
      <c r="B376" s="279" t="s">
        <v>1751</v>
      </c>
      <c r="C376" s="280" t="s">
        <v>2307</v>
      </c>
    </row>
    <row r="377" spans="1:3">
      <c r="A377" t="s">
        <v>2523</v>
      </c>
      <c r="B377" s="279" t="s">
        <v>1705</v>
      </c>
      <c r="C377" s="280" t="s">
        <v>2308</v>
      </c>
    </row>
    <row r="378" spans="1:3">
      <c r="A378" t="s">
        <v>2525</v>
      </c>
      <c r="B378" s="279" t="s">
        <v>1750</v>
      </c>
      <c r="C378" s="280" t="s">
        <v>2309</v>
      </c>
    </row>
    <row r="379" spans="1:3">
      <c r="A379" t="s">
        <v>2523</v>
      </c>
      <c r="B379" s="279" t="s">
        <v>1706</v>
      </c>
      <c r="C379" s="280" t="s">
        <v>2310</v>
      </c>
    </row>
    <row r="380" spans="1:3">
      <c r="A380" t="s">
        <v>2523</v>
      </c>
      <c r="B380" s="279" t="s">
        <v>1707</v>
      </c>
      <c r="C380" s="280" t="s">
        <v>2311</v>
      </c>
    </row>
    <row r="381" spans="1:3">
      <c r="A381" t="s">
        <v>2523</v>
      </c>
      <c r="B381" s="279" t="s">
        <v>1708</v>
      </c>
      <c r="C381" s="280" t="s">
        <v>2312</v>
      </c>
    </row>
    <row r="382" spans="1:3">
      <c r="A382" t="s">
        <v>2523</v>
      </c>
      <c r="B382" s="279" t="s">
        <v>1709</v>
      </c>
      <c r="C382" s="282" t="s">
        <v>2313</v>
      </c>
    </row>
    <row r="383" spans="1:3">
      <c r="A383" t="s">
        <v>2523</v>
      </c>
      <c r="B383" s="279" t="s">
        <v>1710</v>
      </c>
      <c r="C383" s="280" t="s">
        <v>2314</v>
      </c>
    </row>
    <row r="384" spans="1:3">
      <c r="A384" t="s">
        <v>2523</v>
      </c>
      <c r="B384" s="279" t="s">
        <v>1711</v>
      </c>
      <c r="C384" s="280" t="s">
        <v>2315</v>
      </c>
    </row>
    <row r="385" spans="1:3">
      <c r="A385" t="s">
        <v>2523</v>
      </c>
      <c r="B385" s="279" t="s">
        <v>1712</v>
      </c>
      <c r="C385" s="280" t="s">
        <v>2316</v>
      </c>
    </row>
    <row r="386" spans="1:3">
      <c r="A386" t="s">
        <v>2523</v>
      </c>
      <c r="B386" s="279" t="s">
        <v>1713</v>
      </c>
      <c r="C386" s="280" t="s">
        <v>2317</v>
      </c>
    </row>
    <row r="387" spans="1:3">
      <c r="A387" t="s">
        <v>2523</v>
      </c>
      <c r="B387" s="279" t="s">
        <v>1714</v>
      </c>
      <c r="C387" s="280" t="s">
        <v>2318</v>
      </c>
    </row>
    <row r="388" spans="1:3">
      <c r="A388" t="s">
        <v>2523</v>
      </c>
      <c r="B388" s="279" t="s">
        <v>1715</v>
      </c>
      <c r="C388" s="282" t="s">
        <v>833</v>
      </c>
    </row>
    <row r="389" spans="1:3">
      <c r="A389" t="s">
        <v>2523</v>
      </c>
      <c r="B389" s="279" t="s">
        <v>1716</v>
      </c>
      <c r="C389" s="280" t="s">
        <v>2319</v>
      </c>
    </row>
    <row r="390" spans="1:3">
      <c r="A390" t="s">
        <v>2523</v>
      </c>
      <c r="B390" s="279" t="s">
        <v>1717</v>
      </c>
      <c r="C390" s="280" t="s">
        <v>2320</v>
      </c>
    </row>
    <row r="391" spans="1:3">
      <c r="A391" t="s">
        <v>2523</v>
      </c>
      <c r="B391" s="279" t="s">
        <v>1718</v>
      </c>
      <c r="C391" s="280" t="s">
        <v>2321</v>
      </c>
    </row>
    <row r="392" spans="1:3">
      <c r="A392" t="s">
        <v>2523</v>
      </c>
      <c r="B392" s="279" t="s">
        <v>1719</v>
      </c>
      <c r="C392" s="280" t="s">
        <v>2322</v>
      </c>
    </row>
    <row r="393" spans="1:3">
      <c r="A393" t="s">
        <v>2523</v>
      </c>
      <c r="B393" s="279" t="s">
        <v>1720</v>
      </c>
      <c r="C393" s="280" t="s">
        <v>2323</v>
      </c>
    </row>
    <row r="394" spans="1:3">
      <c r="A394" t="s">
        <v>2523</v>
      </c>
      <c r="B394" s="279" t="s">
        <v>1721</v>
      </c>
      <c r="C394" s="280" t="s">
        <v>2324</v>
      </c>
    </row>
    <row r="395" spans="1:3">
      <c r="A395" t="s">
        <v>2523</v>
      </c>
      <c r="B395" s="279" t="s">
        <v>1722</v>
      </c>
      <c r="C395" s="280" t="s">
        <v>2325</v>
      </c>
    </row>
    <row r="396" spans="1:3">
      <c r="A396" t="s">
        <v>2523</v>
      </c>
      <c r="B396" s="279" t="s">
        <v>1723</v>
      </c>
      <c r="C396" s="280" t="s">
        <v>2326</v>
      </c>
    </row>
    <row r="397" spans="1:3">
      <c r="A397" t="s">
        <v>2523</v>
      </c>
      <c r="B397" s="279" t="s">
        <v>1724</v>
      </c>
      <c r="C397" s="280" t="s">
        <v>2327</v>
      </c>
    </row>
    <row r="398" spans="1:3">
      <c r="A398" t="s">
        <v>2523</v>
      </c>
      <c r="B398" s="279" t="s">
        <v>1725</v>
      </c>
      <c r="C398" s="280" t="s">
        <v>2328</v>
      </c>
    </row>
    <row r="399" spans="1:3">
      <c r="A399" t="s">
        <v>2523</v>
      </c>
      <c r="B399" s="279" t="s">
        <v>1726</v>
      </c>
      <c r="C399" s="280" t="s">
        <v>2329</v>
      </c>
    </row>
    <row r="400" spans="1:3">
      <c r="A400" t="s">
        <v>2523</v>
      </c>
      <c r="B400" s="279" t="s">
        <v>1727</v>
      </c>
      <c r="C400" s="280" t="s">
        <v>2330</v>
      </c>
    </row>
    <row r="401" spans="1:3">
      <c r="A401" t="s">
        <v>2523</v>
      </c>
      <c r="B401" s="279" t="s">
        <v>1728</v>
      </c>
      <c r="C401" s="280" t="s">
        <v>2331</v>
      </c>
    </row>
    <row r="402" spans="1:3">
      <c r="A402" t="s">
        <v>2523</v>
      </c>
      <c r="B402" s="279" t="s">
        <v>1729</v>
      </c>
      <c r="C402" s="280" t="s">
        <v>2332</v>
      </c>
    </row>
    <row r="403" spans="1:3">
      <c r="A403" t="s">
        <v>2523</v>
      </c>
      <c r="B403" s="279" t="s">
        <v>1730</v>
      </c>
      <c r="C403" s="280" t="s">
        <v>2333</v>
      </c>
    </row>
    <row r="404" spans="1:3">
      <c r="A404" t="s">
        <v>2523</v>
      </c>
      <c r="B404" s="279" t="s">
        <v>1731</v>
      </c>
      <c r="C404" s="280" t="s">
        <v>2334</v>
      </c>
    </row>
    <row r="405" spans="1:3">
      <c r="A405" t="s">
        <v>2523</v>
      </c>
      <c r="B405" s="279" t="s">
        <v>1732</v>
      </c>
      <c r="C405" s="280" t="s">
        <v>2335</v>
      </c>
    </row>
    <row r="406" spans="1:3">
      <c r="A406" t="s">
        <v>2523</v>
      </c>
      <c r="B406" s="279" t="s">
        <v>1733</v>
      </c>
      <c r="C406" s="280" t="s">
        <v>2336</v>
      </c>
    </row>
    <row r="407" spans="1:3">
      <c r="A407" t="s">
        <v>2523</v>
      </c>
      <c r="B407" s="279" t="s">
        <v>1734</v>
      </c>
      <c r="C407" s="280" t="s">
        <v>2337</v>
      </c>
    </row>
    <row r="408" spans="1:3">
      <c r="A408" t="s">
        <v>2526</v>
      </c>
      <c r="B408" s="279" t="s">
        <v>1585</v>
      </c>
      <c r="C408" s="280" t="s">
        <v>2338</v>
      </c>
    </row>
    <row r="409" spans="1:3">
      <c r="A409" t="s">
        <v>2527</v>
      </c>
      <c r="B409" s="279" t="s">
        <v>1586</v>
      </c>
      <c r="C409" s="280" t="s">
        <v>2339</v>
      </c>
    </row>
    <row r="410" spans="1:3">
      <c r="A410" t="s">
        <v>2528</v>
      </c>
      <c r="B410" s="279" t="s">
        <v>1545</v>
      </c>
      <c r="C410" s="280" t="s">
        <v>2340</v>
      </c>
    </row>
    <row r="411" spans="1:3">
      <c r="A411" t="s">
        <v>2523</v>
      </c>
      <c r="B411" s="279" t="s">
        <v>1735</v>
      </c>
      <c r="C411" s="280" t="s">
        <v>2341</v>
      </c>
    </row>
    <row r="412" spans="1:3">
      <c r="A412" t="s">
        <v>2528</v>
      </c>
      <c r="B412" s="279" t="s">
        <v>1546</v>
      </c>
      <c r="C412" s="280" t="s">
        <v>2342</v>
      </c>
    </row>
    <row r="413" spans="1:3">
      <c r="A413" t="s">
        <v>2529</v>
      </c>
      <c r="B413" s="279" t="s">
        <v>1580</v>
      </c>
      <c r="C413" s="280" t="s">
        <v>2343</v>
      </c>
    </row>
    <row r="414" spans="1:3">
      <c r="A414" t="s">
        <v>2530</v>
      </c>
      <c r="B414" s="279" t="s">
        <v>1544</v>
      </c>
      <c r="C414" s="280" t="s">
        <v>2344</v>
      </c>
    </row>
    <row r="415" spans="1:3">
      <c r="A415" t="s">
        <v>2523</v>
      </c>
      <c r="B415" s="279" t="s">
        <v>1736</v>
      </c>
      <c r="C415" s="280" t="s">
        <v>2345</v>
      </c>
    </row>
    <row r="416" spans="1:3">
      <c r="A416" t="s">
        <v>2523</v>
      </c>
      <c r="B416" s="279" t="s">
        <v>1737</v>
      </c>
      <c r="C416" s="280" t="s">
        <v>2346</v>
      </c>
    </row>
    <row r="417" spans="1:3">
      <c r="A417" t="s">
        <v>2523</v>
      </c>
      <c r="B417" s="279" t="s">
        <v>1738</v>
      </c>
      <c r="C417" s="280" t="s">
        <v>2347</v>
      </c>
    </row>
    <row r="418" spans="1:3">
      <c r="A418" t="s">
        <v>2523</v>
      </c>
      <c r="B418" s="279" t="s">
        <v>1739</v>
      </c>
      <c r="C418" s="280" t="s">
        <v>2348</v>
      </c>
    </row>
    <row r="419" spans="1:3">
      <c r="A419" t="s">
        <v>2523</v>
      </c>
      <c r="B419" s="279" t="s">
        <v>1740</v>
      </c>
      <c r="C419" s="280" t="s">
        <v>2349</v>
      </c>
    </row>
    <row r="420" spans="1:3">
      <c r="A420" t="s">
        <v>2523</v>
      </c>
      <c r="B420" s="279" t="s">
        <v>1741</v>
      </c>
      <c r="C420" s="280" t="s">
        <v>2350</v>
      </c>
    </row>
    <row r="421" spans="1:3">
      <c r="A421" t="s">
        <v>2523</v>
      </c>
      <c r="B421" s="279" t="s">
        <v>1742</v>
      </c>
      <c r="C421" s="280" t="s">
        <v>2351</v>
      </c>
    </row>
    <row r="422" spans="1:3">
      <c r="A422" t="s">
        <v>2523</v>
      </c>
      <c r="B422" s="279" t="s">
        <v>1743</v>
      </c>
      <c r="C422" s="280" t="s">
        <v>2352</v>
      </c>
    </row>
    <row r="423" spans="1:3">
      <c r="A423" t="s">
        <v>2523</v>
      </c>
      <c r="B423" s="279" t="s">
        <v>1744</v>
      </c>
      <c r="C423" s="280" t="s">
        <v>2353</v>
      </c>
    </row>
    <row r="424" spans="1:3">
      <c r="A424" t="s">
        <v>2531</v>
      </c>
      <c r="B424" s="279" t="s">
        <v>1652</v>
      </c>
      <c r="C424" s="280" t="s">
        <v>2354</v>
      </c>
    </row>
    <row r="425" spans="1:3">
      <c r="A425" t="s">
        <v>2531</v>
      </c>
      <c r="B425" s="279" t="s">
        <v>1653</v>
      </c>
      <c r="C425" s="280" t="s">
        <v>2355</v>
      </c>
    </row>
    <row r="426" spans="1:3">
      <c r="A426" t="s">
        <v>2532</v>
      </c>
      <c r="B426" s="279" t="s">
        <v>1663</v>
      </c>
      <c r="C426" s="280" t="s">
        <v>2356</v>
      </c>
    </row>
    <row r="427" spans="1:3">
      <c r="A427" t="s">
        <v>2523</v>
      </c>
      <c r="B427" s="279" t="s">
        <v>1745</v>
      </c>
      <c r="C427" s="280" t="s">
        <v>807</v>
      </c>
    </row>
    <row r="428" spans="1:3">
      <c r="A428" t="s">
        <v>2523</v>
      </c>
      <c r="B428" s="279" t="s">
        <v>1746</v>
      </c>
      <c r="C428" s="280" t="s">
        <v>2357</v>
      </c>
    </row>
    <row r="429" spans="1:3">
      <c r="A429" t="s">
        <v>2523</v>
      </c>
      <c r="B429" s="279" t="s">
        <v>1747</v>
      </c>
      <c r="C429" s="280" t="s">
        <v>2358</v>
      </c>
    </row>
    <row r="430" spans="1:3">
      <c r="A430" t="s">
        <v>2523</v>
      </c>
      <c r="B430" s="279" t="s">
        <v>1748</v>
      </c>
      <c r="C430" s="280" t="s">
        <v>2359</v>
      </c>
    </row>
    <row r="431" spans="1:3">
      <c r="A431" t="s">
        <v>2523</v>
      </c>
      <c r="B431" s="279" t="s">
        <v>1749</v>
      </c>
      <c r="C431" s="280" t="s">
        <v>2360</v>
      </c>
    </row>
    <row r="432" spans="1:3">
      <c r="A432" t="s">
        <v>2533</v>
      </c>
      <c r="B432" s="279" t="s">
        <v>1752</v>
      </c>
      <c r="C432" s="280" t="s">
        <v>2361</v>
      </c>
    </row>
    <row r="433" spans="1:3">
      <c r="A433" t="s">
        <v>2533</v>
      </c>
      <c r="B433" s="279" t="s">
        <v>1753</v>
      </c>
      <c r="C433" s="280" t="s">
        <v>2362</v>
      </c>
    </row>
    <row r="434" spans="1:3">
      <c r="A434" t="s">
        <v>2534</v>
      </c>
      <c r="B434" s="279" t="s">
        <v>1754</v>
      </c>
      <c r="C434" s="280" t="s">
        <v>2363</v>
      </c>
    </row>
    <row r="435" spans="1:3">
      <c r="A435" t="s">
        <v>2535</v>
      </c>
      <c r="B435" s="279" t="s">
        <v>1755</v>
      </c>
      <c r="C435" s="280" t="s">
        <v>2364</v>
      </c>
    </row>
    <row r="436" spans="1:3">
      <c r="A436" t="s">
        <v>2523</v>
      </c>
      <c r="B436" s="279" t="s">
        <v>1940</v>
      </c>
      <c r="C436" s="280" t="s">
        <v>2365</v>
      </c>
    </row>
    <row r="437" spans="1:3">
      <c r="A437" t="s">
        <v>2523</v>
      </c>
      <c r="B437" s="279" t="s">
        <v>1963</v>
      </c>
      <c r="C437" s="285" t="s">
        <v>2366</v>
      </c>
    </row>
    <row r="438" spans="1:3">
      <c r="A438" t="s">
        <v>2523</v>
      </c>
      <c r="B438" s="279" t="s">
        <v>1965</v>
      </c>
      <c r="C438" s="280" t="s">
        <v>2367</v>
      </c>
    </row>
  </sheetData>
  <dataValidations count="1">
    <dataValidation type="textLength" allowBlank="1" showInputMessage="1" showErrorMessage="1" sqref="C8 C2 C103 C111 C121 C130:C131 C175">
      <formula1>0</formula1>
      <formula2>30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F13"/>
  <sheetViews>
    <sheetView showGridLines="0" zoomScale="80" zoomScaleNormal="80" workbookViewId="0">
      <pane xSplit="3" ySplit="4" topLeftCell="E5" activePane="bottomRight" state="frozen"/>
      <selection activeCell="H3" sqref="H3:I3"/>
      <selection pane="topRight" activeCell="H3" sqref="H3:I3"/>
      <selection pane="bottomLeft" activeCell="H3" sqref="H3:I3"/>
      <selection pane="bottomRight" activeCell="H3" sqref="H3:I3"/>
    </sheetView>
  </sheetViews>
  <sheetFormatPr defaultColWidth="11.42578125" defaultRowHeight="12.75" outlineLevelCol="1"/>
  <cols>
    <col min="1" max="1" width="2.5703125" style="1" customWidth="1"/>
    <col min="2" max="2" width="29" style="1" bestFit="1" customWidth="1"/>
    <col min="3" max="3" width="25.140625" style="1" bestFit="1" customWidth="1"/>
    <col min="4" max="5" width="11.28515625" style="1" customWidth="1"/>
    <col min="6" max="6" width="52.7109375" style="5" bestFit="1" customWidth="1"/>
    <col min="7" max="8" width="20" style="9" bestFit="1" customWidth="1"/>
    <col min="9" max="9" width="29.28515625" style="12" bestFit="1" customWidth="1"/>
    <col min="10" max="11" width="21.7109375" style="12" customWidth="1"/>
    <col min="12" max="12" width="23.28515625" style="12" customWidth="1"/>
    <col min="13" max="14" width="22" style="12" customWidth="1"/>
    <col min="15" max="15" width="23.28515625" style="12" customWidth="1"/>
    <col min="16" max="17" width="21.7109375" style="12" customWidth="1"/>
    <col min="18" max="18" width="23.28515625" style="12" customWidth="1"/>
    <col min="19" max="20" width="22.28515625" style="12" customWidth="1"/>
    <col min="21" max="21" width="23.28515625" style="12" customWidth="1"/>
    <col min="22" max="23" width="23.42578125" style="12" customWidth="1"/>
    <col min="24" max="24" width="23.28515625" style="12" customWidth="1"/>
    <col min="25" max="25" width="7.5703125" style="12" bestFit="1" customWidth="1"/>
    <col min="26" max="26" width="10.28515625" style="12" bestFit="1" customWidth="1"/>
    <col min="27" max="29" width="10.28515625" style="12" hidden="1" customWidth="1"/>
    <col min="30" max="30" width="10.28515625" style="12" bestFit="1" customWidth="1"/>
    <col min="31" max="31" width="10.140625" style="12" hidden="1" customWidth="1"/>
    <col min="32" max="32" width="9.85546875" style="12" hidden="1" customWidth="1"/>
    <col min="33" max="33" width="6.85546875" style="12" hidden="1" customWidth="1"/>
    <col min="34" max="34" width="7.5703125" style="12" customWidth="1"/>
    <col min="35" max="35" width="10.7109375" style="12" bestFit="1" customWidth="1"/>
    <col min="36" max="36" width="15.42578125" style="12" bestFit="1" customWidth="1"/>
    <col min="37" max="37" width="14" style="12" bestFit="1" customWidth="1"/>
    <col min="38" max="39" width="16.140625" style="1" customWidth="1"/>
    <col min="40" max="41" width="16.140625" style="9" customWidth="1"/>
    <col min="42" max="47" width="16.140625" style="1" customWidth="1" outlineLevel="1"/>
    <col min="48" max="49" width="16.140625" style="1" customWidth="1"/>
    <col min="50" max="50" width="21.85546875" style="1" customWidth="1"/>
    <col min="51" max="51" width="11.42578125" style="92" customWidth="1"/>
    <col min="52" max="53" width="21.85546875" style="1" customWidth="1"/>
    <col min="54" max="54" width="1.85546875" style="1" customWidth="1"/>
    <col min="55" max="55" width="21.85546875" style="1" customWidth="1"/>
    <col min="56" max="56" width="2.85546875" style="1" customWidth="1"/>
    <col min="57" max="58" width="45.7109375" style="1" customWidth="1"/>
    <col min="59" max="16384" width="11.42578125" style="1"/>
  </cols>
  <sheetData>
    <row r="1" spans="1:58" s="2" customFormat="1">
      <c r="G1" s="7"/>
      <c r="H1" s="7"/>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N1" s="7"/>
      <c r="AO1" s="7"/>
      <c r="AY1" s="94"/>
    </row>
    <row r="2" spans="1:58" s="2" customFormat="1" ht="13.5" thickBot="1">
      <c r="C2" s="4"/>
      <c r="G2" s="7"/>
      <c r="H2" s="7"/>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N2" s="7"/>
      <c r="AO2" s="91"/>
      <c r="AQ2" s="91"/>
      <c r="AS2" s="91"/>
      <c r="AU2" s="91"/>
      <c r="AY2" s="94"/>
    </row>
    <row r="3" spans="1:58" s="2" customFormat="1" ht="15.75" customHeight="1" thickBot="1">
      <c r="A3" s="302"/>
      <c r="B3" s="309" t="s">
        <v>74</v>
      </c>
      <c r="C3" s="309" t="s">
        <v>75</v>
      </c>
      <c r="D3" s="306" t="s">
        <v>195</v>
      </c>
      <c r="E3" s="306" t="s">
        <v>215</v>
      </c>
      <c r="F3" s="307" t="s">
        <v>216</v>
      </c>
      <c r="G3" s="307" t="s">
        <v>1142</v>
      </c>
      <c r="H3" s="307"/>
      <c r="I3" s="313" t="s">
        <v>196</v>
      </c>
      <c r="J3" s="297">
        <v>2014</v>
      </c>
      <c r="K3" s="298"/>
      <c r="L3" s="299"/>
      <c r="M3" s="297">
        <v>2015</v>
      </c>
      <c r="N3" s="298"/>
      <c r="O3" s="299"/>
      <c r="P3" s="297">
        <v>2016</v>
      </c>
      <c r="Q3" s="298"/>
      <c r="R3" s="299"/>
      <c r="S3" s="297">
        <v>2017</v>
      </c>
      <c r="T3" s="298"/>
      <c r="U3" s="299"/>
      <c r="V3" s="297">
        <v>2018</v>
      </c>
      <c r="W3" s="298"/>
      <c r="X3" s="299"/>
      <c r="Y3" s="306" t="s">
        <v>1126</v>
      </c>
      <c r="Z3" s="307"/>
      <c r="AA3" s="307"/>
      <c r="AB3" s="307"/>
      <c r="AC3" s="307"/>
      <c r="AD3" s="307"/>
      <c r="AE3" s="307"/>
      <c r="AF3" s="307"/>
      <c r="AG3" s="307"/>
      <c r="AH3" s="307"/>
      <c r="AI3" s="307"/>
      <c r="AJ3" s="307"/>
      <c r="AK3" s="302"/>
      <c r="AL3" s="306" t="s">
        <v>1127</v>
      </c>
      <c r="AM3" s="302"/>
      <c r="AN3" s="306" t="s">
        <v>1128</v>
      </c>
      <c r="AO3" s="302"/>
      <c r="AP3" s="308" t="s">
        <v>283</v>
      </c>
      <c r="AQ3" s="305"/>
      <c r="AR3" s="304" t="s">
        <v>282</v>
      </c>
      <c r="AS3" s="305"/>
      <c r="AT3" s="304" t="s">
        <v>281</v>
      </c>
      <c r="AU3" s="305"/>
      <c r="AV3" s="306" t="s">
        <v>1134</v>
      </c>
      <c r="AW3" s="302"/>
      <c r="AX3" s="302" t="s">
        <v>289</v>
      </c>
      <c r="AY3" s="94"/>
      <c r="AZ3" s="302" t="s">
        <v>1057</v>
      </c>
      <c r="BA3" s="302" t="s">
        <v>1135</v>
      </c>
      <c r="BC3" s="302" t="s">
        <v>1125</v>
      </c>
      <c r="BE3" s="302" t="s">
        <v>1131</v>
      </c>
      <c r="BF3" s="302" t="s">
        <v>1130</v>
      </c>
    </row>
    <row r="4" spans="1:58" s="14" customFormat="1" ht="25.5" customHeight="1" thickBot="1">
      <c r="A4" s="303"/>
      <c r="B4" s="310"/>
      <c r="C4" s="310"/>
      <c r="D4" s="311"/>
      <c r="E4" s="311"/>
      <c r="F4" s="312"/>
      <c r="G4" s="169" t="s">
        <v>1141</v>
      </c>
      <c r="H4" s="169" t="s">
        <v>1146</v>
      </c>
      <c r="I4" s="314"/>
      <c r="J4" s="21" t="s">
        <v>197</v>
      </c>
      <c r="K4" s="22" t="s">
        <v>198</v>
      </c>
      <c r="L4" s="23" t="s">
        <v>199</v>
      </c>
      <c r="M4" s="21" t="s">
        <v>197</v>
      </c>
      <c r="N4" s="22" t="s">
        <v>198</v>
      </c>
      <c r="O4" s="23" t="s">
        <v>199</v>
      </c>
      <c r="P4" s="21" t="s">
        <v>197</v>
      </c>
      <c r="Q4" s="22" t="s">
        <v>198</v>
      </c>
      <c r="R4" s="23" t="s">
        <v>199</v>
      </c>
      <c r="S4" s="21" t="s">
        <v>197</v>
      </c>
      <c r="T4" s="22" t="s">
        <v>198</v>
      </c>
      <c r="U4" s="23" t="s">
        <v>199</v>
      </c>
      <c r="V4" s="21" t="s">
        <v>197</v>
      </c>
      <c r="W4" s="22" t="s">
        <v>198</v>
      </c>
      <c r="X4" s="23" t="s">
        <v>199</v>
      </c>
      <c r="Y4" s="41" t="s">
        <v>272</v>
      </c>
      <c r="Z4" s="42" t="s">
        <v>273</v>
      </c>
      <c r="AA4" s="44" t="s">
        <v>278</v>
      </c>
      <c r="AB4" s="44" t="s">
        <v>279</v>
      </c>
      <c r="AC4" s="44" t="s">
        <v>277</v>
      </c>
      <c r="AD4" s="42" t="s">
        <v>274</v>
      </c>
      <c r="AE4" s="44" t="s">
        <v>278</v>
      </c>
      <c r="AF4" s="44" t="s">
        <v>279</v>
      </c>
      <c r="AG4" s="44" t="s">
        <v>277</v>
      </c>
      <c r="AH4" s="42" t="s">
        <v>275</v>
      </c>
      <c r="AI4" s="42" t="s">
        <v>1140</v>
      </c>
      <c r="AJ4" s="42" t="s">
        <v>276</v>
      </c>
      <c r="AK4" s="43" t="s">
        <v>280</v>
      </c>
      <c r="AL4" s="41" t="s">
        <v>284</v>
      </c>
      <c r="AM4" s="43" t="s">
        <v>288</v>
      </c>
      <c r="AN4" s="41" t="s">
        <v>284</v>
      </c>
      <c r="AO4" s="43" t="s">
        <v>288</v>
      </c>
      <c r="AP4" s="48" t="s">
        <v>284</v>
      </c>
      <c r="AQ4" s="45" t="s">
        <v>220</v>
      </c>
      <c r="AR4" s="45" t="s">
        <v>284</v>
      </c>
      <c r="AS4" s="45" t="s">
        <v>220</v>
      </c>
      <c r="AT4" s="45" t="s">
        <v>284</v>
      </c>
      <c r="AU4" s="47" t="s">
        <v>220</v>
      </c>
      <c r="AV4" s="41" t="s">
        <v>284</v>
      </c>
      <c r="AW4" s="43" t="s">
        <v>288</v>
      </c>
      <c r="AX4" s="303"/>
      <c r="AY4" s="93"/>
      <c r="AZ4" s="303"/>
      <c r="BA4" s="303"/>
      <c r="BC4" s="303"/>
      <c r="BE4" s="303"/>
      <c r="BF4" s="303"/>
    </row>
    <row r="5" spans="1:58">
      <c r="A5" s="176"/>
      <c r="B5" s="6" t="s">
        <v>205</v>
      </c>
      <c r="C5" s="25" t="s">
        <v>210</v>
      </c>
      <c r="D5" s="155"/>
      <c r="E5" s="155"/>
      <c r="F5" s="6" t="s">
        <v>1060</v>
      </c>
      <c r="G5" s="8" t="s">
        <v>220</v>
      </c>
      <c r="H5" s="8" t="s">
        <v>220</v>
      </c>
      <c r="I5" s="11"/>
      <c r="J5" s="28"/>
      <c r="K5" s="11"/>
      <c r="L5" s="11"/>
      <c r="M5" s="8"/>
      <c r="N5" s="11"/>
      <c r="O5" s="11"/>
      <c r="P5" s="8"/>
      <c r="Q5" s="11"/>
      <c r="R5" s="11"/>
      <c r="S5" s="8"/>
      <c r="T5" s="11"/>
      <c r="U5" s="11"/>
      <c r="V5" s="8"/>
      <c r="W5" s="11"/>
      <c r="X5" s="11"/>
      <c r="Y5" s="65"/>
      <c r="Z5" s="107"/>
      <c r="AA5" s="106"/>
      <c r="AB5" s="106"/>
      <c r="AC5" s="106"/>
      <c r="AD5" s="107"/>
      <c r="AE5" s="75"/>
      <c r="AF5" s="75"/>
      <c r="AG5" s="75"/>
      <c r="AH5" s="61"/>
      <c r="AI5" s="61"/>
      <c r="AJ5" s="61"/>
      <c r="AK5" s="60"/>
      <c r="AL5" s="78"/>
      <c r="AM5" s="68"/>
      <c r="AN5" s="67"/>
      <c r="AO5" s="68"/>
      <c r="AP5" s="59"/>
      <c r="AQ5" s="64"/>
      <c r="AR5" s="61"/>
      <c r="AS5" s="64"/>
      <c r="AT5" s="61"/>
      <c r="AU5" s="68"/>
      <c r="AV5" s="67"/>
      <c r="AW5" s="68"/>
      <c r="AX5" s="76"/>
      <c r="AZ5" s="141"/>
      <c r="BA5" s="141"/>
      <c r="BB5" s="143"/>
      <c r="BC5" s="141"/>
      <c r="BD5" s="143"/>
      <c r="BE5" s="141"/>
      <c r="BF5" s="141"/>
    </row>
    <row r="6" spans="1:58">
      <c r="A6" s="176"/>
      <c r="B6" s="6" t="s">
        <v>207</v>
      </c>
      <c r="C6" s="25" t="s">
        <v>210</v>
      </c>
      <c r="D6" s="155"/>
      <c r="E6" s="155"/>
      <c r="F6" s="6" t="s">
        <v>1061</v>
      </c>
      <c r="G6" s="8" t="s">
        <v>284</v>
      </c>
      <c r="H6" s="8" t="s">
        <v>1149</v>
      </c>
      <c r="I6" s="11"/>
      <c r="J6" s="28"/>
      <c r="K6" s="11"/>
      <c r="L6" s="11"/>
      <c r="M6" s="8"/>
      <c r="N6" s="11"/>
      <c r="O6" s="11"/>
      <c r="P6" s="8"/>
      <c r="Q6" s="11"/>
      <c r="R6" s="11"/>
      <c r="S6" s="8"/>
      <c r="T6" s="11"/>
      <c r="U6" s="11" t="s">
        <v>1150</v>
      </c>
      <c r="V6" s="8"/>
      <c r="W6" s="11"/>
      <c r="X6" s="11"/>
      <c r="Y6" s="65"/>
      <c r="Z6" s="107"/>
      <c r="AA6" s="106"/>
      <c r="AB6" s="106"/>
      <c r="AC6" s="106"/>
      <c r="AD6" s="107"/>
      <c r="AE6" s="75"/>
      <c r="AF6" s="75"/>
      <c r="AG6" s="75"/>
      <c r="AH6" s="61"/>
      <c r="AI6" s="61"/>
      <c r="AJ6" s="61"/>
      <c r="AK6" s="60"/>
      <c r="AL6" s="78"/>
      <c r="AM6" s="68"/>
      <c r="AN6" s="67"/>
      <c r="AO6" s="68"/>
      <c r="AP6" s="67"/>
      <c r="AQ6" s="64"/>
      <c r="AR6" s="61"/>
      <c r="AS6" s="64"/>
      <c r="AT6" s="61"/>
      <c r="AU6" s="68"/>
      <c r="AV6" s="67"/>
      <c r="AW6" s="68"/>
      <c r="AX6" s="76"/>
      <c r="AZ6" s="141"/>
      <c r="BA6" s="141"/>
      <c r="BB6" s="143"/>
      <c r="BC6" s="141"/>
      <c r="BD6" s="143"/>
      <c r="BE6" s="141"/>
      <c r="BF6" s="141"/>
    </row>
    <row r="7" spans="1:58" ht="25.5">
      <c r="A7" s="176"/>
      <c r="B7" s="6" t="s">
        <v>160</v>
      </c>
      <c r="C7" s="25" t="s">
        <v>210</v>
      </c>
      <c r="D7" s="155"/>
      <c r="E7" s="155">
        <v>42725</v>
      </c>
      <c r="F7" s="11" t="s">
        <v>1429</v>
      </c>
      <c r="G7" s="8" t="s">
        <v>220</v>
      </c>
      <c r="H7" s="8" t="s">
        <v>220</v>
      </c>
      <c r="I7" s="11"/>
      <c r="J7" s="28" t="s">
        <v>1431</v>
      </c>
      <c r="K7" s="11"/>
      <c r="L7" s="11"/>
      <c r="M7" s="219" t="str">
        <f>+J7</f>
        <v>(1708100Mex$+85703Mex$)</v>
      </c>
      <c r="N7" s="11"/>
      <c r="O7" s="11"/>
      <c r="P7" s="219" t="str">
        <f>+M7</f>
        <v>(1708100Mex$+85703Mex$)</v>
      </c>
      <c r="Q7" s="11"/>
      <c r="R7" s="11"/>
      <c r="S7" s="219" t="str">
        <f>+P7</f>
        <v>(1708100Mex$+85703Mex$)</v>
      </c>
      <c r="T7" s="11"/>
      <c r="U7" s="11"/>
      <c r="V7" s="8"/>
      <c r="W7" s="11"/>
      <c r="X7" s="11"/>
      <c r="Y7" s="65"/>
      <c r="Z7" s="107"/>
      <c r="AA7" s="106"/>
      <c r="AB7" s="106"/>
      <c r="AC7" s="106"/>
      <c r="AD7" s="107"/>
      <c r="AE7" s="75"/>
      <c r="AF7" s="75"/>
      <c r="AG7" s="75"/>
      <c r="AH7" s="61"/>
      <c r="AI7" s="61"/>
      <c r="AJ7" s="61"/>
      <c r="AK7" s="60"/>
      <c r="AL7" s="78"/>
      <c r="AM7" s="68"/>
      <c r="AN7" s="67"/>
      <c r="AO7" s="68"/>
      <c r="AP7" s="67"/>
      <c r="AQ7" s="64"/>
      <c r="AR7" s="61"/>
      <c r="AS7" s="64"/>
      <c r="AT7" s="61"/>
      <c r="AU7" s="68"/>
      <c r="AV7" s="67"/>
      <c r="AW7" s="68"/>
      <c r="AX7" s="76"/>
      <c r="AZ7" s="141"/>
      <c r="BA7" s="141"/>
      <c r="BB7" s="143"/>
      <c r="BC7" s="141"/>
      <c r="BD7" s="143"/>
      <c r="BE7" s="141"/>
      <c r="BF7" s="141"/>
    </row>
    <row r="8" spans="1:58">
      <c r="A8" s="176"/>
      <c r="B8" s="6" t="s">
        <v>158</v>
      </c>
      <c r="C8" s="25" t="s">
        <v>210</v>
      </c>
      <c r="D8" s="155"/>
      <c r="E8" s="155">
        <v>44104</v>
      </c>
      <c r="F8" s="11" t="s">
        <v>1430</v>
      </c>
      <c r="G8" s="8" t="s">
        <v>284</v>
      </c>
      <c r="H8" s="8" t="s">
        <v>1215</v>
      </c>
      <c r="I8" s="11"/>
      <c r="J8" s="28"/>
      <c r="K8" s="28">
        <f>K11*0.777836</f>
        <v>373361.27999999997</v>
      </c>
      <c r="L8" s="11" t="s">
        <v>1062</v>
      </c>
      <c r="M8" s="8"/>
      <c r="N8" s="168">
        <f>K8</f>
        <v>373361.27999999997</v>
      </c>
      <c r="O8" s="11" t="s">
        <v>1062</v>
      </c>
      <c r="P8" s="8"/>
      <c r="Q8" s="168">
        <f>N8</f>
        <v>373361.27999999997</v>
      </c>
      <c r="R8" s="11" t="s">
        <v>1062</v>
      </c>
      <c r="S8" s="8"/>
      <c r="T8" s="168">
        <f>Q8</f>
        <v>373361.27999999997</v>
      </c>
      <c r="U8" s="11" t="s">
        <v>1062</v>
      </c>
      <c r="V8" s="8"/>
      <c r="W8" s="168">
        <f>T8</f>
        <v>373361.27999999997</v>
      </c>
      <c r="X8" s="11" t="s">
        <v>1062</v>
      </c>
      <c r="Y8" s="63">
        <v>0.21</v>
      </c>
      <c r="Z8" s="104">
        <v>1669446</v>
      </c>
      <c r="AA8" s="106"/>
      <c r="AB8" s="106"/>
      <c r="AC8" s="106"/>
      <c r="AD8" s="107"/>
      <c r="AE8" s="75"/>
      <c r="AF8" s="75"/>
      <c r="AG8" s="75"/>
      <c r="AH8" s="61"/>
      <c r="AI8" s="61"/>
      <c r="AJ8" s="64">
        <f>Y8*Z8</f>
        <v>350583.66</v>
      </c>
      <c r="AK8" s="136">
        <f>K8</f>
        <v>373361.27999999997</v>
      </c>
      <c r="AL8" s="79"/>
      <c r="AM8" s="68">
        <f>AK8</f>
        <v>373361.27999999997</v>
      </c>
      <c r="AN8" s="67"/>
      <c r="AO8" s="68">
        <v>399640</v>
      </c>
      <c r="AP8" s="59"/>
      <c r="AQ8" s="64">
        <v>231703</v>
      </c>
      <c r="AR8" s="61"/>
      <c r="AS8" s="64">
        <v>230875</v>
      </c>
      <c r="AT8" s="61"/>
      <c r="AU8" s="68">
        <v>399640</v>
      </c>
      <c r="AV8" s="67">
        <f t="shared" ref="AV8:AW10" si="0">AT8-AR8+AP8</f>
        <v>0</v>
      </c>
      <c r="AW8" s="68">
        <f t="shared" si="0"/>
        <v>400468</v>
      </c>
      <c r="AX8" s="76"/>
      <c r="AZ8" s="141"/>
      <c r="BA8" s="141">
        <f>(AL8+AM8)</f>
        <v>373361.27999999997</v>
      </c>
      <c r="BC8" s="141">
        <f>+(AO8+AN8)-BA8</f>
        <v>26278.72000000003</v>
      </c>
      <c r="BD8" s="143"/>
      <c r="BE8" s="141"/>
      <c r="BF8" s="141"/>
    </row>
    <row r="9" spans="1:58">
      <c r="A9" s="176"/>
      <c r="B9" s="6" t="s">
        <v>161</v>
      </c>
      <c r="C9" s="25" t="s">
        <v>210</v>
      </c>
      <c r="D9" s="155"/>
      <c r="E9" s="155">
        <v>43190</v>
      </c>
      <c r="F9" s="11" t="s">
        <v>1222</v>
      </c>
      <c r="G9" s="8" t="s">
        <v>284</v>
      </c>
      <c r="H9" s="8" t="s">
        <v>1215</v>
      </c>
      <c r="I9" s="11"/>
      <c r="J9" s="28"/>
      <c r="K9" s="28">
        <f>K12*0.777836</f>
        <v>1166754</v>
      </c>
      <c r="L9" s="11" t="s">
        <v>1063</v>
      </c>
      <c r="M9" s="8"/>
      <c r="N9" s="168">
        <f>K9</f>
        <v>1166754</v>
      </c>
      <c r="O9" s="11" t="s">
        <v>1063</v>
      </c>
      <c r="P9" s="8"/>
      <c r="Q9" s="168">
        <f>N9</f>
        <v>1166754</v>
      </c>
      <c r="R9" s="11" t="s">
        <v>1063</v>
      </c>
      <c r="S9" s="8"/>
      <c r="T9" s="168">
        <f>Q9</f>
        <v>1166754</v>
      </c>
      <c r="U9" s="11" t="s">
        <v>1063</v>
      </c>
      <c r="V9" s="8"/>
      <c r="W9" s="168">
        <f>T9</f>
        <v>1166754</v>
      </c>
      <c r="X9" s="11" t="s">
        <v>1063</v>
      </c>
      <c r="Y9" s="63">
        <v>0.22</v>
      </c>
      <c r="Z9" s="104">
        <v>5389061</v>
      </c>
      <c r="AA9" s="106"/>
      <c r="AB9" s="106"/>
      <c r="AC9" s="106"/>
      <c r="AD9" s="107"/>
      <c r="AE9" s="75"/>
      <c r="AF9" s="75"/>
      <c r="AG9" s="75"/>
      <c r="AH9" s="61"/>
      <c r="AI9" s="61"/>
      <c r="AJ9" s="64">
        <f>Y9*Z9</f>
        <v>1185593.42</v>
      </c>
      <c r="AK9" s="136">
        <f>K9</f>
        <v>1166754</v>
      </c>
      <c r="AL9" s="79">
        <f>AJ9</f>
        <v>1185593.42</v>
      </c>
      <c r="AM9" s="68">
        <v>0</v>
      </c>
      <c r="AN9" s="67"/>
      <c r="AO9" s="68">
        <v>1225856</v>
      </c>
      <c r="AP9" s="67">
        <v>53007</v>
      </c>
      <c r="AQ9" s="64">
        <v>660332</v>
      </c>
      <c r="AR9" s="61"/>
      <c r="AS9" s="64">
        <v>698433</v>
      </c>
      <c r="AT9" s="61"/>
      <c r="AU9" s="68">
        <v>1225856</v>
      </c>
      <c r="AV9" s="67">
        <f t="shared" si="0"/>
        <v>53007</v>
      </c>
      <c r="AW9" s="68">
        <f t="shared" si="0"/>
        <v>1187755</v>
      </c>
      <c r="AX9" s="76"/>
      <c r="AZ9" s="141"/>
      <c r="BA9" s="141">
        <f>(AL9+AM9)</f>
        <v>1185593.42</v>
      </c>
      <c r="BB9" s="143"/>
      <c r="BC9" s="141">
        <f>+(AO9+AN9)-BA9</f>
        <v>40262.580000000075</v>
      </c>
      <c r="BD9" s="143"/>
      <c r="BE9" s="141"/>
      <c r="BF9" s="141"/>
    </row>
    <row r="10" spans="1:58">
      <c r="A10" s="176"/>
      <c r="B10" s="6" t="s">
        <v>159</v>
      </c>
      <c r="C10" s="25" t="s">
        <v>210</v>
      </c>
      <c r="D10" s="155"/>
      <c r="E10" s="155">
        <v>42933</v>
      </c>
      <c r="F10" s="11" t="s">
        <v>1223</v>
      </c>
      <c r="G10" s="8" t="s">
        <v>284</v>
      </c>
      <c r="H10" s="8" t="s">
        <v>1215</v>
      </c>
      <c r="I10" s="11"/>
      <c r="J10" s="28"/>
      <c r="K10" s="28">
        <f>K13*0.777836</f>
        <v>404474.72</v>
      </c>
      <c r="L10" s="11" t="s">
        <v>1064</v>
      </c>
      <c r="M10" s="8"/>
      <c r="N10" s="168">
        <f>K10</f>
        <v>404474.72</v>
      </c>
      <c r="O10" s="11" t="s">
        <v>1064</v>
      </c>
      <c r="P10" s="8"/>
      <c r="Q10" s="168">
        <f>N10</f>
        <v>404474.72</v>
      </c>
      <c r="R10" s="11" t="s">
        <v>1064</v>
      </c>
      <c r="S10" s="8"/>
      <c r="T10" s="168">
        <f>Q10</f>
        <v>404474.72</v>
      </c>
      <c r="U10" s="11" t="s">
        <v>1064</v>
      </c>
      <c r="V10" s="8"/>
      <c r="W10" s="168">
        <f>T10</f>
        <v>404474.72</v>
      </c>
      <c r="X10" s="11" t="s">
        <v>1064</v>
      </c>
      <c r="Y10" s="63">
        <v>0.25</v>
      </c>
      <c r="Z10" s="104">
        <v>2403422</v>
      </c>
      <c r="AA10" s="106"/>
      <c r="AB10" s="106"/>
      <c r="AC10" s="106"/>
      <c r="AD10" s="107"/>
      <c r="AE10" s="75"/>
      <c r="AF10" s="75"/>
      <c r="AG10" s="75"/>
      <c r="AH10" s="61"/>
      <c r="AI10" s="61"/>
      <c r="AJ10" s="64">
        <f>Y10*Z10</f>
        <v>600855.5</v>
      </c>
      <c r="AK10" s="136">
        <f>K10</f>
        <v>404474.72</v>
      </c>
      <c r="AL10" s="79">
        <f>AJ10</f>
        <v>600855.5</v>
      </c>
      <c r="AM10" s="68">
        <v>0</v>
      </c>
      <c r="AN10" s="67"/>
      <c r="AO10" s="68">
        <v>586799</v>
      </c>
      <c r="AP10" s="67"/>
      <c r="AQ10" s="64">
        <v>361203</v>
      </c>
      <c r="AR10" s="61"/>
      <c r="AS10" s="64">
        <v>327665</v>
      </c>
      <c r="AT10" s="61"/>
      <c r="AU10" s="68">
        <v>586799</v>
      </c>
      <c r="AV10" s="67">
        <f t="shared" si="0"/>
        <v>0</v>
      </c>
      <c r="AW10" s="68">
        <f t="shared" si="0"/>
        <v>620337</v>
      </c>
      <c r="AX10" s="76"/>
      <c r="AZ10" s="141"/>
      <c r="BA10" s="141">
        <f>(AL10+AM10)</f>
        <v>600855.5</v>
      </c>
      <c r="BB10" s="143"/>
      <c r="BC10" s="141">
        <f>+(AO10+AN10)-BA10</f>
        <v>-14056.5</v>
      </c>
      <c r="BD10" s="143"/>
      <c r="BE10" s="141"/>
      <c r="BF10" s="141"/>
    </row>
    <row r="11" spans="1:58" s="12" customFormat="1">
      <c r="A11" s="1"/>
      <c r="B11" s="1"/>
      <c r="C11" s="1"/>
      <c r="D11" s="1"/>
      <c r="E11" s="1"/>
      <c r="F11" s="171"/>
      <c r="G11" s="9"/>
      <c r="H11" s="9"/>
      <c r="J11" s="300" t="s">
        <v>1218</v>
      </c>
      <c r="K11" s="212">
        <f>40000*12</f>
        <v>480000</v>
      </c>
      <c r="AL11" s="1"/>
      <c r="AM11" s="1"/>
      <c r="AN11" s="9"/>
      <c r="AO11" s="9"/>
      <c r="AP11" s="1"/>
      <c r="AQ11" s="1"/>
      <c r="AR11" s="1"/>
      <c r="AS11" s="1"/>
      <c r="AT11" s="1"/>
      <c r="AU11" s="1"/>
      <c r="AV11" s="1"/>
      <c r="AW11" s="1"/>
      <c r="AX11" s="1"/>
      <c r="AY11" s="92"/>
      <c r="AZ11" s="1"/>
      <c r="BA11" s="1"/>
      <c r="BB11" s="1"/>
      <c r="BC11" s="1"/>
      <c r="BD11" s="1"/>
      <c r="BE11" s="1"/>
      <c r="BF11" s="1"/>
    </row>
    <row r="12" spans="1:58">
      <c r="J12" s="301"/>
      <c r="K12" s="212">
        <f>125000*12</f>
        <v>1500000</v>
      </c>
    </row>
    <row r="13" spans="1:58">
      <c r="J13" s="301"/>
      <c r="K13" s="212">
        <v>520000</v>
      </c>
    </row>
  </sheetData>
  <autoFilter ref="A4:AZ10"/>
  <mergeCells count="27">
    <mergeCell ref="P3:R3"/>
    <mergeCell ref="F3:F4"/>
    <mergeCell ref="G3:H3"/>
    <mergeCell ref="I3:I4"/>
    <mergeCell ref="J3:L3"/>
    <mergeCell ref="M3:O3"/>
    <mergeCell ref="A3:A4"/>
    <mergeCell ref="B3:B4"/>
    <mergeCell ref="C3:C4"/>
    <mergeCell ref="D3:D4"/>
    <mergeCell ref="E3:E4"/>
    <mergeCell ref="J11:J13"/>
    <mergeCell ref="BE3:BE4"/>
    <mergeCell ref="BF3:BF4"/>
    <mergeCell ref="AT3:AU3"/>
    <mergeCell ref="AV3:AW3"/>
    <mergeCell ref="AX3:AX4"/>
    <mergeCell ref="AZ3:AZ4"/>
    <mergeCell ref="BA3:BA4"/>
    <mergeCell ref="BC3:BC4"/>
    <mergeCell ref="V3:X3"/>
    <mergeCell ref="Y3:AK3"/>
    <mergeCell ref="AL3:AM3"/>
    <mergeCell ref="AN3:AO3"/>
    <mergeCell ref="AP3:AQ3"/>
    <mergeCell ref="AR3:AS3"/>
    <mergeCell ref="S3:U3"/>
  </mergeCells>
  <conditionalFormatting sqref="BC1:BC2 BC5:BC7 BC11:BC65536">
    <cfRule type="cellIs" dxfId="148" priority="152" stopIfTrue="1" operator="greaterThan">
      <formula>0</formula>
    </cfRule>
  </conditionalFormatting>
  <conditionalFormatting sqref="BC1:BC7 BC11:BC65536">
    <cfRule type="cellIs" dxfId="147" priority="149" stopIfTrue="1" operator="equal">
      <formula>0</formula>
    </cfRule>
    <cfRule type="cellIs" dxfId="146" priority="151" stopIfTrue="1" operator="lessThan">
      <formula>0</formula>
    </cfRule>
  </conditionalFormatting>
  <conditionalFormatting sqref="BC8:BC10">
    <cfRule type="cellIs" dxfId="145" priority="5" stopIfTrue="1" operator="greaterThan">
      <formula>0</formula>
    </cfRule>
  </conditionalFormatting>
  <conditionalFormatting sqref="BC8:BC10">
    <cfRule type="cellIs" dxfId="144" priority="3" stopIfTrue="1" operator="equal">
      <formula>0</formula>
    </cfRule>
    <cfRule type="cellIs" dxfId="143" priority="4" stopIfTrue="1" operator="lessThan">
      <formula>0</formula>
    </cfRule>
  </conditionalFormatting>
  <conditionalFormatting sqref="BC8:BC10">
    <cfRule type="cellIs" dxfId="142" priority="2" stopIfTrue="1" operator="equal">
      <formula>0</formula>
    </cfRule>
  </conditionalFormatting>
  <conditionalFormatting sqref="BC8:BC10">
    <cfRule type="cellIs" dxfId="141" priority="1" stopIfTrue="1" operator="equal">
      <formula>0</formula>
    </cfRule>
  </conditionalFormatting>
  <pageMargins left="0.25" right="0.25" top="0.75" bottom="0.75" header="0.3" footer="0.3"/>
  <pageSetup paperSize="9" scale="2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70C0"/>
    <pageSetUpPr fitToPage="1"/>
  </sheetPr>
  <dimension ref="A1:BF35"/>
  <sheetViews>
    <sheetView showGridLines="0" zoomScale="80" zoomScaleNormal="80" workbookViewId="0">
      <pane xSplit="3" ySplit="4" topLeftCell="D5" activePane="bottomRight" state="frozen"/>
      <selection activeCell="H3" sqref="H3:I3"/>
      <selection pane="topRight" activeCell="H3" sqref="H3:I3"/>
      <selection pane="bottomLeft" activeCell="H3" sqref="H3:I3"/>
      <selection pane="bottomRight" activeCell="H3" sqref="H3:I3"/>
    </sheetView>
  </sheetViews>
  <sheetFormatPr defaultColWidth="11.42578125" defaultRowHeight="12.75" outlineLevelCol="1"/>
  <cols>
    <col min="1" max="1" width="2.5703125" style="92" customWidth="1"/>
    <col min="2" max="2" width="29" style="1" bestFit="1" customWidth="1"/>
    <col min="3" max="3" width="25.140625" style="1" bestFit="1" customWidth="1"/>
    <col min="4" max="4" width="18.42578125" style="1" bestFit="1" customWidth="1"/>
    <col min="5" max="5" width="18.42578125" style="1" customWidth="1"/>
    <col min="6" max="6" width="52.7109375" style="5" bestFit="1" customWidth="1"/>
    <col min="7" max="8" width="20" style="9" bestFit="1" customWidth="1"/>
    <col min="9" max="9" width="29.28515625" style="12" bestFit="1" customWidth="1"/>
    <col min="10" max="11" width="21.7109375" style="12" customWidth="1"/>
    <col min="12" max="12" width="23.28515625" style="12" customWidth="1"/>
    <col min="13" max="14" width="22" style="12" customWidth="1"/>
    <col min="15" max="15" width="23.28515625" style="12" customWidth="1"/>
    <col min="16" max="17" width="21.7109375" style="12" customWidth="1"/>
    <col min="18" max="18" width="23.28515625" style="12" customWidth="1"/>
    <col min="19" max="20" width="22.28515625" style="12" customWidth="1"/>
    <col min="21" max="21" width="23.28515625" style="12" customWidth="1"/>
    <col min="22" max="23" width="23.42578125" style="12" customWidth="1"/>
    <col min="24" max="24" width="23.28515625" style="12" customWidth="1"/>
    <col min="25" max="25" width="7.5703125" style="12" bestFit="1" customWidth="1"/>
    <col min="26" max="26" width="10.28515625" style="12" bestFit="1" customWidth="1"/>
    <col min="27" max="29" width="10.28515625" style="12" hidden="1" customWidth="1"/>
    <col min="30" max="30" width="10.28515625" style="12" bestFit="1" customWidth="1"/>
    <col min="31" max="31" width="10.140625" style="12" hidden="1" customWidth="1"/>
    <col min="32" max="32" width="9.85546875" style="12" hidden="1" customWidth="1"/>
    <col min="33" max="33" width="6.85546875" style="12" hidden="1" customWidth="1"/>
    <col min="34" max="34" width="7.5703125" style="12" customWidth="1"/>
    <col min="35" max="35" width="10.7109375" style="12" bestFit="1" customWidth="1"/>
    <col min="36" max="36" width="15.42578125" style="12" bestFit="1" customWidth="1"/>
    <col min="37" max="37" width="14" style="12" bestFit="1" customWidth="1"/>
    <col min="38" max="39" width="16.140625" style="1" customWidth="1"/>
    <col min="40" max="41" width="16.140625" style="9" customWidth="1"/>
    <col min="42" max="47" width="16.140625" style="1" hidden="1" customWidth="1" outlineLevel="1"/>
    <col min="48" max="48" width="16.140625" style="1" customWidth="1" collapsed="1"/>
    <col min="49" max="49" width="16.140625" style="1" customWidth="1"/>
    <col min="50" max="50" width="21.85546875" style="1" customWidth="1"/>
    <col min="51" max="51" width="11.42578125" style="92" customWidth="1"/>
    <col min="52" max="53" width="21.85546875" style="1" customWidth="1"/>
    <col min="54" max="54" width="1.85546875" style="1" customWidth="1"/>
    <col min="55" max="55" width="21.85546875" style="1" customWidth="1"/>
    <col min="56" max="56" width="2.85546875" style="1" customWidth="1"/>
    <col min="57" max="58" width="45.7109375" style="1" customWidth="1"/>
    <col min="59" max="16384" width="11.42578125" style="1"/>
  </cols>
  <sheetData>
    <row r="1" spans="1:58" s="2" customFormat="1">
      <c r="A1" s="94"/>
      <c r="G1" s="7"/>
      <c r="H1" s="7"/>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N1" s="7"/>
      <c r="AO1" s="7"/>
      <c r="AY1" s="94"/>
    </row>
    <row r="2" spans="1:58" s="2" customFormat="1" ht="13.5" thickBot="1">
      <c r="A2" s="94"/>
      <c r="C2" s="4"/>
      <c r="G2" s="7"/>
      <c r="H2" s="7"/>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N2" s="7"/>
      <c r="AO2" s="91"/>
      <c r="AQ2" s="91"/>
      <c r="AS2" s="91"/>
      <c r="AU2" s="91"/>
      <c r="AY2" s="94"/>
    </row>
    <row r="3" spans="1:58" s="2" customFormat="1" ht="15.75" customHeight="1" thickBot="1">
      <c r="A3" s="315"/>
      <c r="B3" s="309" t="s">
        <v>74</v>
      </c>
      <c r="C3" s="309" t="s">
        <v>75</v>
      </c>
      <c r="D3" s="306" t="s">
        <v>195</v>
      </c>
      <c r="E3" s="306" t="s">
        <v>215</v>
      </c>
      <c r="F3" s="307" t="s">
        <v>216</v>
      </c>
      <c r="G3" s="307" t="s">
        <v>1142</v>
      </c>
      <c r="H3" s="307"/>
      <c r="I3" s="313" t="s">
        <v>196</v>
      </c>
      <c r="J3" s="297">
        <v>2014</v>
      </c>
      <c r="K3" s="298"/>
      <c r="L3" s="299"/>
      <c r="M3" s="297">
        <v>2015</v>
      </c>
      <c r="N3" s="298"/>
      <c r="O3" s="299"/>
      <c r="P3" s="297">
        <v>2016</v>
      </c>
      <c r="Q3" s="298"/>
      <c r="R3" s="299"/>
      <c r="S3" s="297">
        <v>2017</v>
      </c>
      <c r="T3" s="298"/>
      <c r="U3" s="299"/>
      <c r="V3" s="297">
        <v>2018</v>
      </c>
      <c r="W3" s="298"/>
      <c r="X3" s="299"/>
      <c r="Y3" s="306" t="s">
        <v>1126</v>
      </c>
      <c r="Z3" s="307"/>
      <c r="AA3" s="307"/>
      <c r="AB3" s="307"/>
      <c r="AC3" s="307"/>
      <c r="AD3" s="307"/>
      <c r="AE3" s="307"/>
      <c r="AF3" s="307"/>
      <c r="AG3" s="307"/>
      <c r="AH3" s="307"/>
      <c r="AI3" s="307"/>
      <c r="AJ3" s="307"/>
      <c r="AK3" s="302"/>
      <c r="AL3" s="306" t="s">
        <v>1127</v>
      </c>
      <c r="AM3" s="302"/>
      <c r="AN3" s="306" t="s">
        <v>1128</v>
      </c>
      <c r="AO3" s="302"/>
      <c r="AP3" s="308" t="s">
        <v>283</v>
      </c>
      <c r="AQ3" s="305"/>
      <c r="AR3" s="304" t="s">
        <v>282</v>
      </c>
      <c r="AS3" s="305"/>
      <c r="AT3" s="304" t="s">
        <v>281</v>
      </c>
      <c r="AU3" s="305"/>
      <c r="AV3" s="306" t="s">
        <v>1134</v>
      </c>
      <c r="AW3" s="302"/>
      <c r="AX3" s="302" t="s">
        <v>289</v>
      </c>
      <c r="AY3" s="94"/>
      <c r="AZ3" s="302" t="s">
        <v>1057</v>
      </c>
      <c r="BA3" s="302" t="s">
        <v>1135</v>
      </c>
      <c r="BC3" s="302" t="s">
        <v>1125</v>
      </c>
      <c r="BE3" s="302" t="s">
        <v>1131</v>
      </c>
      <c r="BF3" s="302" t="s">
        <v>1154</v>
      </c>
    </row>
    <row r="4" spans="1:58" s="14" customFormat="1" ht="25.5" customHeight="1" thickBot="1">
      <c r="A4" s="316"/>
      <c r="B4" s="310"/>
      <c r="C4" s="310"/>
      <c r="D4" s="311"/>
      <c r="E4" s="311"/>
      <c r="F4" s="312"/>
      <c r="G4" s="169" t="s">
        <v>1141</v>
      </c>
      <c r="H4" s="169" t="s">
        <v>1146</v>
      </c>
      <c r="I4" s="314"/>
      <c r="J4" s="21" t="s">
        <v>197</v>
      </c>
      <c r="K4" s="22" t="s">
        <v>198</v>
      </c>
      <c r="L4" s="23" t="s">
        <v>199</v>
      </c>
      <c r="M4" s="21" t="s">
        <v>197</v>
      </c>
      <c r="N4" s="22" t="s">
        <v>198</v>
      </c>
      <c r="O4" s="23" t="s">
        <v>199</v>
      </c>
      <c r="P4" s="21" t="s">
        <v>197</v>
      </c>
      <c r="Q4" s="22" t="s">
        <v>198</v>
      </c>
      <c r="R4" s="23" t="s">
        <v>199</v>
      </c>
      <c r="S4" s="21" t="s">
        <v>197</v>
      </c>
      <c r="T4" s="22" t="s">
        <v>198</v>
      </c>
      <c r="U4" s="23" t="s">
        <v>199</v>
      </c>
      <c r="V4" s="21" t="s">
        <v>197</v>
      </c>
      <c r="W4" s="22" t="s">
        <v>198</v>
      </c>
      <c r="X4" s="23" t="s">
        <v>199</v>
      </c>
      <c r="Y4" s="41" t="s">
        <v>272</v>
      </c>
      <c r="Z4" s="42" t="s">
        <v>273</v>
      </c>
      <c r="AA4" s="44" t="s">
        <v>278</v>
      </c>
      <c r="AB4" s="44" t="s">
        <v>279</v>
      </c>
      <c r="AC4" s="44" t="s">
        <v>277</v>
      </c>
      <c r="AD4" s="42" t="s">
        <v>274</v>
      </c>
      <c r="AE4" s="44" t="s">
        <v>278</v>
      </c>
      <c r="AF4" s="44" t="s">
        <v>279</v>
      </c>
      <c r="AG4" s="44" t="s">
        <v>277</v>
      </c>
      <c r="AH4" s="42" t="s">
        <v>275</v>
      </c>
      <c r="AI4" s="42" t="s">
        <v>1140</v>
      </c>
      <c r="AJ4" s="42" t="s">
        <v>276</v>
      </c>
      <c r="AK4" s="43" t="s">
        <v>280</v>
      </c>
      <c r="AL4" s="41" t="s">
        <v>284</v>
      </c>
      <c r="AM4" s="43" t="s">
        <v>288</v>
      </c>
      <c r="AN4" s="41" t="s">
        <v>284</v>
      </c>
      <c r="AO4" s="43" t="s">
        <v>288</v>
      </c>
      <c r="AP4" s="48" t="s">
        <v>284</v>
      </c>
      <c r="AQ4" s="45" t="s">
        <v>220</v>
      </c>
      <c r="AR4" s="45" t="s">
        <v>284</v>
      </c>
      <c r="AS4" s="45" t="s">
        <v>220</v>
      </c>
      <c r="AT4" s="45" t="s">
        <v>284</v>
      </c>
      <c r="AU4" s="47" t="s">
        <v>220</v>
      </c>
      <c r="AV4" s="41" t="s">
        <v>284</v>
      </c>
      <c r="AW4" s="43" t="s">
        <v>288</v>
      </c>
      <c r="AX4" s="303"/>
      <c r="AY4" s="93"/>
      <c r="AZ4" s="303"/>
      <c r="BA4" s="303"/>
      <c r="BC4" s="303"/>
      <c r="BE4" s="303"/>
      <c r="BF4" s="303"/>
    </row>
    <row r="5" spans="1:58" ht="51" hidden="1">
      <c r="A5" s="176"/>
      <c r="B5" s="6" t="s">
        <v>188</v>
      </c>
      <c r="C5" s="25" t="s">
        <v>194</v>
      </c>
      <c r="D5" s="17">
        <v>36161</v>
      </c>
      <c r="E5" s="17">
        <v>39447</v>
      </c>
      <c r="F5" s="6" t="s">
        <v>226</v>
      </c>
      <c r="G5" s="8" t="s">
        <v>220</v>
      </c>
      <c r="H5" s="8" t="s">
        <v>220</v>
      </c>
      <c r="I5" s="11" t="s">
        <v>1184</v>
      </c>
      <c r="J5" s="140">
        <v>1059546.04541177</v>
      </c>
      <c r="K5" s="140">
        <v>0</v>
      </c>
      <c r="L5" s="140">
        <v>0</v>
      </c>
      <c r="M5" s="140" t="s">
        <v>217</v>
      </c>
      <c r="N5" s="140">
        <v>0</v>
      </c>
      <c r="O5" s="140">
        <v>0</v>
      </c>
      <c r="P5" s="140" t="s">
        <v>217</v>
      </c>
      <c r="Q5" s="140">
        <v>0</v>
      </c>
      <c r="R5" s="140">
        <v>0</v>
      </c>
      <c r="S5" s="140" t="s">
        <v>217</v>
      </c>
      <c r="T5" s="140">
        <v>0</v>
      </c>
      <c r="U5" s="140">
        <v>0</v>
      </c>
      <c r="V5" s="140" t="s">
        <v>217</v>
      </c>
      <c r="W5" s="140">
        <v>0</v>
      </c>
      <c r="X5" s="140">
        <v>0</v>
      </c>
      <c r="Y5" s="56"/>
      <c r="Z5" s="57"/>
      <c r="AA5" s="57"/>
      <c r="AB5" s="57"/>
      <c r="AC5" s="57"/>
      <c r="AD5" s="57"/>
      <c r="AE5" s="57"/>
      <c r="AF5" s="57"/>
      <c r="AG5" s="57"/>
      <c r="AH5" s="57"/>
      <c r="AI5" s="57"/>
      <c r="AJ5" s="57"/>
      <c r="AK5" s="58"/>
      <c r="AL5" s="59"/>
      <c r="AM5" s="60"/>
      <c r="AN5" s="59"/>
      <c r="AO5" s="60"/>
      <c r="AP5" s="52"/>
      <c r="AQ5" s="54"/>
      <c r="AR5" s="54"/>
      <c r="AS5" s="54"/>
      <c r="AT5" s="54"/>
      <c r="AU5" s="53"/>
      <c r="AV5" s="59"/>
      <c r="AW5" s="60"/>
      <c r="AX5" s="76"/>
      <c r="AZ5" s="141"/>
      <c r="BA5" s="141"/>
      <c r="BB5" s="143"/>
      <c r="BC5" s="141"/>
      <c r="BD5" s="143"/>
      <c r="BE5" s="141"/>
      <c r="BF5" s="141"/>
    </row>
    <row r="6" spans="1:58" ht="229.5">
      <c r="A6" s="176"/>
      <c r="B6" s="6" t="s">
        <v>176</v>
      </c>
      <c r="C6" s="25" t="s">
        <v>194</v>
      </c>
      <c r="D6" s="17">
        <v>41456</v>
      </c>
      <c r="E6" s="17">
        <v>44230</v>
      </c>
      <c r="F6" s="6" t="s">
        <v>1161</v>
      </c>
      <c r="G6" s="8" t="s">
        <v>218</v>
      </c>
      <c r="H6" s="8" t="s">
        <v>1144</v>
      </c>
      <c r="I6" s="8" t="s">
        <v>221</v>
      </c>
      <c r="J6" s="140">
        <v>1200000</v>
      </c>
      <c r="K6" s="140">
        <v>0</v>
      </c>
      <c r="L6" s="140">
        <v>0</v>
      </c>
      <c r="M6" s="140">
        <v>1200000</v>
      </c>
      <c r="N6" s="140">
        <v>0</v>
      </c>
      <c r="O6" s="140" t="s">
        <v>1155</v>
      </c>
      <c r="P6" s="140">
        <v>1200000</v>
      </c>
      <c r="Q6" s="140">
        <v>0</v>
      </c>
      <c r="R6" s="140" t="s">
        <v>228</v>
      </c>
      <c r="S6" s="140">
        <v>1200000</v>
      </c>
      <c r="T6" s="140">
        <v>0</v>
      </c>
      <c r="U6" s="140" t="s">
        <v>228</v>
      </c>
      <c r="V6" s="140">
        <v>1200000</v>
      </c>
      <c r="W6" s="140">
        <v>0</v>
      </c>
      <c r="X6" s="140" t="s">
        <v>228</v>
      </c>
      <c r="Y6" s="63"/>
      <c r="Z6" s="104"/>
      <c r="AA6" s="106"/>
      <c r="AB6" s="106"/>
      <c r="AC6" s="106"/>
      <c r="AD6" s="104"/>
      <c r="AE6" s="57"/>
      <c r="AF6" s="57"/>
      <c r="AG6" s="57"/>
      <c r="AH6" s="131"/>
      <c r="AI6" s="64"/>
      <c r="AJ6" s="64"/>
      <c r="AK6" s="132"/>
      <c r="AL6" s="79">
        <v>0</v>
      </c>
      <c r="AM6" s="80">
        <f>J6</f>
        <v>1200000</v>
      </c>
      <c r="AN6" s="67"/>
      <c r="AO6" s="68">
        <v>1200000</v>
      </c>
      <c r="AP6" s="59"/>
      <c r="AQ6" s="64">
        <v>713608</v>
      </c>
      <c r="AR6" s="61"/>
      <c r="AS6" s="64">
        <v>700000</v>
      </c>
      <c r="AT6" s="61"/>
      <c r="AU6" s="68">
        <v>1200000</v>
      </c>
      <c r="AV6" s="67">
        <f>AT6-AR6+AP6</f>
        <v>0</v>
      </c>
      <c r="AW6" s="68">
        <f>AU6-AS6+AQ6</f>
        <v>1213608</v>
      </c>
      <c r="AX6" s="76"/>
      <c r="AZ6" s="141"/>
      <c r="BA6" s="141">
        <f>(AL6+AM6)</f>
        <v>1200000</v>
      </c>
      <c r="BC6" s="141">
        <f>+(AO6+AN6)-BA6</f>
        <v>0</v>
      </c>
      <c r="BD6" s="143"/>
      <c r="BE6" s="141"/>
      <c r="BF6" s="141"/>
    </row>
    <row r="7" spans="1:58" ht="38.25" hidden="1">
      <c r="A7" s="176"/>
      <c r="B7" s="6" t="s">
        <v>179</v>
      </c>
      <c r="C7" s="25" t="s">
        <v>194</v>
      </c>
      <c r="D7" s="17">
        <v>36348</v>
      </c>
      <c r="E7" s="17">
        <v>46387</v>
      </c>
      <c r="F7" s="6" t="s">
        <v>1162</v>
      </c>
      <c r="G7" s="8" t="s">
        <v>219</v>
      </c>
      <c r="H7" s="8" t="s">
        <v>219</v>
      </c>
      <c r="I7" s="11" t="s">
        <v>1185</v>
      </c>
      <c r="J7" s="140">
        <v>142331</v>
      </c>
      <c r="K7" s="140">
        <v>0</v>
      </c>
      <c r="L7" s="140">
        <v>0</v>
      </c>
      <c r="M7" s="140" t="s">
        <v>217</v>
      </c>
      <c r="N7" s="140">
        <v>0</v>
      </c>
      <c r="O7" s="140">
        <v>0</v>
      </c>
      <c r="P7" s="140" t="s">
        <v>217</v>
      </c>
      <c r="Q7" s="140">
        <v>0</v>
      </c>
      <c r="R7" s="140">
        <v>0</v>
      </c>
      <c r="S7" s="140" t="s">
        <v>217</v>
      </c>
      <c r="T7" s="140">
        <v>0</v>
      </c>
      <c r="U7" s="140">
        <v>0</v>
      </c>
      <c r="V7" s="140" t="s">
        <v>217</v>
      </c>
      <c r="W7" s="140">
        <v>0</v>
      </c>
      <c r="X7" s="140">
        <v>0</v>
      </c>
      <c r="Y7" s="56"/>
      <c r="Z7" s="57"/>
      <c r="AA7" s="57"/>
      <c r="AB7" s="57"/>
      <c r="AC7" s="57"/>
      <c r="AD7" s="57"/>
      <c r="AE7" s="57"/>
      <c r="AF7" s="57"/>
      <c r="AG7" s="57"/>
      <c r="AH7" s="57"/>
      <c r="AI7" s="57"/>
      <c r="AJ7" s="57"/>
      <c r="AK7" s="58"/>
      <c r="AL7" s="59"/>
      <c r="AM7" s="60"/>
      <c r="AN7" s="59"/>
      <c r="AO7" s="60"/>
      <c r="AP7" s="59"/>
      <c r="AQ7" s="61"/>
      <c r="AR7" s="61"/>
      <c r="AS7" s="61"/>
      <c r="AT7" s="61"/>
      <c r="AU7" s="60"/>
      <c r="AV7" s="59"/>
      <c r="AW7" s="60"/>
      <c r="AX7" s="76"/>
      <c r="AZ7" s="141"/>
      <c r="BA7" s="141"/>
      <c r="BB7" s="143"/>
      <c r="BC7" s="141"/>
      <c r="BD7" s="143"/>
      <c r="BE7" s="141"/>
      <c r="BF7" s="141"/>
    </row>
    <row r="8" spans="1:58" ht="25.5">
      <c r="A8" s="176"/>
      <c r="B8" s="6" t="s">
        <v>180</v>
      </c>
      <c r="C8" s="25" t="s">
        <v>194</v>
      </c>
      <c r="D8" s="17">
        <v>38474</v>
      </c>
      <c r="E8" s="17">
        <v>48579</v>
      </c>
      <c r="F8" s="6" t="s">
        <v>1221</v>
      </c>
      <c r="G8" s="8" t="s">
        <v>218</v>
      </c>
      <c r="H8" s="8" t="s">
        <v>1144</v>
      </c>
      <c r="I8" s="11" t="s">
        <v>1184</v>
      </c>
      <c r="J8" s="140">
        <v>1603125</v>
      </c>
      <c r="K8" s="140">
        <f>K11*0.777836</f>
        <v>0</v>
      </c>
      <c r="L8" s="140" t="s">
        <v>1156</v>
      </c>
      <c r="M8" s="140" t="s">
        <v>217</v>
      </c>
      <c r="N8" s="140">
        <v>0</v>
      </c>
      <c r="O8" s="140" t="s">
        <v>1156</v>
      </c>
      <c r="P8" s="140" t="s">
        <v>217</v>
      </c>
      <c r="Q8" s="140">
        <v>0</v>
      </c>
      <c r="R8" s="140" t="s">
        <v>1156</v>
      </c>
      <c r="S8" s="140" t="s">
        <v>217</v>
      </c>
      <c r="T8" s="140">
        <v>0</v>
      </c>
      <c r="U8" s="140" t="s">
        <v>1156</v>
      </c>
      <c r="V8" s="140" t="s">
        <v>217</v>
      </c>
      <c r="W8" s="140">
        <v>0</v>
      </c>
      <c r="X8" s="140" t="s">
        <v>1156</v>
      </c>
      <c r="Y8" s="63">
        <v>0.2</v>
      </c>
      <c r="Z8" s="104">
        <v>4675000</v>
      </c>
      <c r="AA8" s="57"/>
      <c r="AB8" s="57"/>
      <c r="AC8" s="57"/>
      <c r="AD8" s="104"/>
      <c r="AE8" s="57"/>
      <c r="AF8" s="57"/>
      <c r="AG8" s="57"/>
      <c r="AH8" s="131"/>
      <c r="AI8" s="64"/>
      <c r="AJ8" s="64">
        <f>(Z8-5160597)*Y8</f>
        <v>-97119.400000000009</v>
      </c>
      <c r="AK8" s="66"/>
      <c r="AL8" s="78">
        <v>0</v>
      </c>
      <c r="AM8" s="78">
        <f>J8</f>
        <v>1603125</v>
      </c>
      <c r="AN8" s="67"/>
      <c r="AO8" s="68">
        <v>1613880</v>
      </c>
      <c r="AP8" s="59"/>
      <c r="AQ8" s="64">
        <v>935157</v>
      </c>
      <c r="AR8" s="61"/>
      <c r="AS8" s="64">
        <v>947430</v>
      </c>
      <c r="AT8" s="61"/>
      <c r="AU8" s="68">
        <v>1613880</v>
      </c>
      <c r="AV8" s="67">
        <f>AT8-AR8+AP8</f>
        <v>0</v>
      </c>
      <c r="AW8" s="68">
        <f>AU8-AS8+AQ8</f>
        <v>1601607</v>
      </c>
      <c r="AX8" s="76"/>
      <c r="AZ8" s="141"/>
      <c r="BA8" s="141">
        <f>(AL8+AM8)</f>
        <v>1603125</v>
      </c>
      <c r="BC8" s="141">
        <f>+(AO8+AN8)-BA8</f>
        <v>10755</v>
      </c>
      <c r="BD8" s="143"/>
      <c r="BE8" s="141"/>
      <c r="BF8" s="141"/>
    </row>
    <row r="9" spans="1:58" hidden="1">
      <c r="A9" s="176"/>
      <c r="B9" s="6" t="s">
        <v>181</v>
      </c>
      <c r="C9" s="25" t="s">
        <v>194</v>
      </c>
      <c r="D9" s="17">
        <v>41120</v>
      </c>
      <c r="E9" s="17">
        <v>43282</v>
      </c>
      <c r="F9" s="6" t="s">
        <v>1222</v>
      </c>
      <c r="G9" s="8" t="s">
        <v>220</v>
      </c>
      <c r="H9" s="8" t="s">
        <v>220</v>
      </c>
      <c r="I9" s="11" t="s">
        <v>1184</v>
      </c>
      <c r="J9" s="140">
        <v>575000</v>
      </c>
      <c r="K9" s="140">
        <v>0</v>
      </c>
      <c r="L9" s="140">
        <v>0</v>
      </c>
      <c r="M9" s="140">
        <v>850000</v>
      </c>
      <c r="N9" s="140">
        <v>0</v>
      </c>
      <c r="O9" s="140">
        <v>0</v>
      </c>
      <c r="P9" s="140">
        <v>850000</v>
      </c>
      <c r="Q9" s="140">
        <v>0</v>
      </c>
      <c r="R9" s="140">
        <v>0</v>
      </c>
      <c r="S9" s="140">
        <v>850000</v>
      </c>
      <c r="T9" s="140">
        <v>0</v>
      </c>
      <c r="U9" s="140">
        <v>0</v>
      </c>
      <c r="V9" s="140">
        <v>860965</v>
      </c>
      <c r="W9" s="140">
        <v>0</v>
      </c>
      <c r="X9" s="140">
        <v>0</v>
      </c>
      <c r="Y9" s="56"/>
      <c r="Z9" s="57"/>
      <c r="AA9" s="57"/>
      <c r="AB9" s="57"/>
      <c r="AC9" s="57"/>
      <c r="AD9" s="57"/>
      <c r="AE9" s="57"/>
      <c r="AF9" s="57"/>
      <c r="AG9" s="57"/>
      <c r="AH9" s="57"/>
      <c r="AI9" s="57"/>
      <c r="AJ9" s="57"/>
      <c r="AK9" s="58"/>
      <c r="AL9" s="59"/>
      <c r="AM9" s="60"/>
      <c r="AN9" s="59"/>
      <c r="AO9" s="60"/>
      <c r="AP9" s="59"/>
      <c r="AQ9" s="61"/>
      <c r="AR9" s="61"/>
      <c r="AS9" s="61"/>
      <c r="AT9" s="61"/>
      <c r="AU9" s="60"/>
      <c r="AV9" s="59"/>
      <c r="AW9" s="60"/>
      <c r="AX9" s="76"/>
      <c r="AZ9" s="141"/>
      <c r="BA9" s="141"/>
      <c r="BB9" s="143"/>
      <c r="BC9" s="141"/>
      <c r="BD9" s="143"/>
      <c r="BE9" s="141"/>
      <c r="BF9" s="141"/>
    </row>
    <row r="10" spans="1:58" hidden="1">
      <c r="A10" s="176"/>
      <c r="B10" s="6" t="s">
        <v>182</v>
      </c>
      <c r="C10" s="25" t="s">
        <v>194</v>
      </c>
      <c r="D10" s="17">
        <v>41430</v>
      </c>
      <c r="E10" s="17">
        <v>43465</v>
      </c>
      <c r="F10" s="6" t="s">
        <v>1223</v>
      </c>
      <c r="G10" s="8" t="s">
        <v>220</v>
      </c>
      <c r="H10" s="8" t="s">
        <v>220</v>
      </c>
      <c r="I10" s="8" t="s">
        <v>221</v>
      </c>
      <c r="J10" s="140">
        <v>350000</v>
      </c>
      <c r="K10" s="140">
        <v>0</v>
      </c>
      <c r="L10" s="140">
        <v>0</v>
      </c>
      <c r="M10" s="140">
        <v>400000</v>
      </c>
      <c r="N10" s="140">
        <v>0</v>
      </c>
      <c r="O10" s="140">
        <v>0</v>
      </c>
      <c r="P10" s="140">
        <v>420000</v>
      </c>
      <c r="Q10" s="140">
        <v>0</v>
      </c>
      <c r="R10" s="140">
        <v>0</v>
      </c>
      <c r="S10" s="140">
        <v>450000</v>
      </c>
      <c r="T10" s="140">
        <v>0</v>
      </c>
      <c r="U10" s="140">
        <v>0</v>
      </c>
      <c r="V10" s="140">
        <v>480000</v>
      </c>
      <c r="W10" s="140">
        <v>0</v>
      </c>
      <c r="X10" s="140">
        <v>0</v>
      </c>
      <c r="Y10" s="56"/>
      <c r="Z10" s="57"/>
      <c r="AA10" s="57"/>
      <c r="AB10" s="57"/>
      <c r="AC10" s="57"/>
      <c r="AD10" s="57"/>
      <c r="AE10" s="57"/>
      <c r="AF10" s="57"/>
      <c r="AG10" s="57"/>
      <c r="AH10" s="57"/>
      <c r="AI10" s="57"/>
      <c r="AJ10" s="57"/>
      <c r="AK10" s="58"/>
      <c r="AL10" s="59"/>
      <c r="AM10" s="60"/>
      <c r="AN10" s="59"/>
      <c r="AO10" s="60"/>
      <c r="AP10" s="59"/>
      <c r="AQ10" s="61"/>
      <c r="AR10" s="61"/>
      <c r="AS10" s="61"/>
      <c r="AT10" s="61"/>
      <c r="AU10" s="60"/>
      <c r="AV10" s="59"/>
      <c r="AW10" s="60"/>
      <c r="AX10" s="76"/>
      <c r="AZ10" s="141"/>
      <c r="BA10" s="141"/>
      <c r="BB10" s="143"/>
      <c r="BC10" s="141"/>
      <c r="BD10" s="143"/>
      <c r="BE10" s="141"/>
      <c r="BF10" s="141"/>
    </row>
    <row r="11" spans="1:58" ht="74.25" hidden="1" customHeight="1">
      <c r="A11" s="258"/>
      <c r="B11" s="6" t="s">
        <v>173</v>
      </c>
      <c r="C11" s="25" t="s">
        <v>194</v>
      </c>
      <c r="D11" s="17">
        <v>42012</v>
      </c>
      <c r="E11" s="17">
        <v>44620</v>
      </c>
      <c r="F11" s="6" t="s">
        <v>1314</v>
      </c>
      <c r="G11" s="8" t="s">
        <v>220</v>
      </c>
      <c r="H11" s="8" t="s">
        <v>220</v>
      </c>
      <c r="I11" s="11" t="s">
        <v>1313</v>
      </c>
      <c r="J11" s="140">
        <v>1150623.6100000001</v>
      </c>
      <c r="K11" s="217"/>
      <c r="L11" s="140"/>
      <c r="M11" s="140">
        <v>950000</v>
      </c>
      <c r="N11" s="140"/>
      <c r="O11" s="140"/>
      <c r="P11" s="140" t="s">
        <v>1315</v>
      </c>
      <c r="Q11" s="140">
        <v>0</v>
      </c>
      <c r="R11" s="140">
        <v>0</v>
      </c>
      <c r="S11" s="140" t="s">
        <v>217</v>
      </c>
      <c r="T11" s="140">
        <v>0</v>
      </c>
      <c r="U11" s="140">
        <v>0</v>
      </c>
      <c r="V11" s="140" t="s">
        <v>217</v>
      </c>
      <c r="W11" s="140">
        <v>0</v>
      </c>
      <c r="X11" s="140">
        <v>0</v>
      </c>
      <c r="Y11" s="56"/>
      <c r="Z11" s="57"/>
      <c r="AA11" s="57"/>
      <c r="AB11" s="57"/>
      <c r="AC11" s="57"/>
      <c r="AD11" s="57"/>
      <c r="AE11" s="57"/>
      <c r="AF11" s="57"/>
      <c r="AG11" s="57"/>
      <c r="AH11" s="57"/>
      <c r="AI11" s="57"/>
      <c r="AJ11" s="57"/>
      <c r="AK11" s="58"/>
      <c r="AL11" s="59"/>
      <c r="AM11" s="60"/>
      <c r="AN11" s="59"/>
      <c r="AO11" s="60"/>
      <c r="AP11" s="59"/>
      <c r="AQ11" s="61"/>
      <c r="AR11" s="61"/>
      <c r="AS11" s="61"/>
      <c r="AT11" s="61"/>
      <c r="AU11" s="60"/>
      <c r="AV11" s="59"/>
      <c r="AW11" s="60"/>
      <c r="AX11" s="76"/>
      <c r="AZ11" s="141"/>
      <c r="BA11" s="141"/>
      <c r="BB11" s="143"/>
      <c r="BC11" s="141"/>
      <c r="BD11" s="143"/>
      <c r="BE11" s="141"/>
      <c r="BF11" s="141"/>
    </row>
    <row r="12" spans="1:58" ht="25.5" hidden="1">
      <c r="A12" s="176"/>
      <c r="B12" s="6" t="s">
        <v>166</v>
      </c>
      <c r="C12" s="25" t="s">
        <v>194</v>
      </c>
      <c r="D12" s="17">
        <v>37096</v>
      </c>
      <c r="E12" s="17">
        <v>48052</v>
      </c>
      <c r="F12" s="6" t="s">
        <v>1163</v>
      </c>
      <c r="G12" s="8" t="s">
        <v>219</v>
      </c>
      <c r="H12" s="8" t="s">
        <v>219</v>
      </c>
      <c r="I12" s="11" t="s">
        <v>1185</v>
      </c>
      <c r="J12" s="140">
        <v>798973.51590157149</v>
      </c>
      <c r="K12" s="217">
        <v>0</v>
      </c>
      <c r="L12" s="140">
        <v>0</v>
      </c>
      <c r="M12" s="140" t="s">
        <v>217</v>
      </c>
      <c r="N12" s="140">
        <v>0</v>
      </c>
      <c r="O12" s="140">
        <v>0</v>
      </c>
      <c r="P12" s="140" t="s">
        <v>217</v>
      </c>
      <c r="Q12" s="140">
        <v>0</v>
      </c>
      <c r="R12" s="140">
        <v>0</v>
      </c>
      <c r="S12" s="140" t="s">
        <v>217</v>
      </c>
      <c r="T12" s="140">
        <v>0</v>
      </c>
      <c r="U12" s="140">
        <v>0</v>
      </c>
      <c r="V12" s="140" t="s">
        <v>217</v>
      </c>
      <c r="W12" s="140">
        <v>0</v>
      </c>
      <c r="X12" s="140">
        <v>0</v>
      </c>
      <c r="Y12" s="56"/>
      <c r="Z12" s="57"/>
      <c r="AA12" s="57"/>
      <c r="AB12" s="57"/>
      <c r="AC12" s="57"/>
      <c r="AD12" s="57"/>
      <c r="AE12" s="57"/>
      <c r="AF12" s="57"/>
      <c r="AG12" s="57"/>
      <c r="AH12" s="57"/>
      <c r="AI12" s="57"/>
      <c r="AJ12" s="57"/>
      <c r="AK12" s="58"/>
      <c r="AL12" s="59"/>
      <c r="AM12" s="60"/>
      <c r="AN12" s="59"/>
      <c r="AO12" s="60"/>
      <c r="AP12" s="59"/>
      <c r="AQ12" s="61"/>
      <c r="AR12" s="61"/>
      <c r="AS12" s="61"/>
      <c r="AT12" s="61"/>
      <c r="AU12" s="60"/>
      <c r="AV12" s="59"/>
      <c r="AW12" s="60"/>
      <c r="AX12" s="76"/>
      <c r="AZ12" s="141"/>
      <c r="BA12" s="141"/>
      <c r="BB12" s="143"/>
      <c r="BC12" s="141"/>
      <c r="BD12" s="143"/>
      <c r="BE12" s="141"/>
      <c r="BF12" s="141"/>
    </row>
    <row r="13" spans="1:58" ht="25.5">
      <c r="A13" s="176"/>
      <c r="B13" s="6" t="s">
        <v>189</v>
      </c>
      <c r="C13" s="25" t="s">
        <v>194</v>
      </c>
      <c r="D13" s="17">
        <v>39876</v>
      </c>
      <c r="E13" s="17">
        <v>43162</v>
      </c>
      <c r="F13" s="6" t="s">
        <v>1164</v>
      </c>
      <c r="G13" s="8" t="s">
        <v>284</v>
      </c>
      <c r="H13" s="8" t="s">
        <v>1217</v>
      </c>
      <c r="I13" s="11" t="s">
        <v>1185</v>
      </c>
      <c r="J13" s="140">
        <v>0</v>
      </c>
      <c r="K13" s="217">
        <v>2673491.9973849999</v>
      </c>
      <c r="L13" s="140" t="s">
        <v>231</v>
      </c>
      <c r="M13" s="140">
        <v>0</v>
      </c>
      <c r="N13" s="140" t="s">
        <v>217</v>
      </c>
      <c r="O13" s="140" t="s">
        <v>231</v>
      </c>
      <c r="P13" s="140">
        <v>0</v>
      </c>
      <c r="Q13" s="140" t="s">
        <v>217</v>
      </c>
      <c r="R13" s="140" t="s">
        <v>231</v>
      </c>
      <c r="S13" s="140">
        <v>0</v>
      </c>
      <c r="T13" s="140" t="s">
        <v>217</v>
      </c>
      <c r="U13" s="140" t="s">
        <v>231</v>
      </c>
      <c r="V13" s="140">
        <v>0</v>
      </c>
      <c r="W13" s="140" t="s">
        <v>217</v>
      </c>
      <c r="X13" s="140" t="s">
        <v>231</v>
      </c>
      <c r="Y13" s="63">
        <v>0.16</v>
      </c>
      <c r="Z13" s="104">
        <v>8839000</v>
      </c>
      <c r="AA13" s="57"/>
      <c r="AB13" s="57"/>
      <c r="AC13" s="57"/>
      <c r="AD13" s="104"/>
      <c r="AE13" s="57"/>
      <c r="AF13" s="57"/>
      <c r="AG13" s="57"/>
      <c r="AH13" s="131"/>
      <c r="AI13" s="64"/>
      <c r="AJ13" s="64">
        <f>Y13*Z13</f>
        <v>1414240</v>
      </c>
      <c r="AK13" s="68">
        <f>K13</f>
        <v>2673491.9973849999</v>
      </c>
      <c r="AL13" s="78">
        <v>0</v>
      </c>
      <c r="AM13" s="78">
        <f>AK13</f>
        <v>2673491.9973849999</v>
      </c>
      <c r="AN13" s="67"/>
      <c r="AO13" s="68">
        <v>2691500</v>
      </c>
      <c r="AP13" s="59"/>
      <c r="AQ13" s="64">
        <v>1576415</v>
      </c>
      <c r="AR13" s="61"/>
      <c r="AS13" s="64">
        <v>1570030</v>
      </c>
      <c r="AT13" s="61"/>
      <c r="AU13" s="68">
        <v>2691500</v>
      </c>
      <c r="AV13" s="67">
        <f>AT13-AR13+AP13</f>
        <v>0</v>
      </c>
      <c r="AW13" s="68">
        <f>AU13-AS13+AQ13</f>
        <v>2697885</v>
      </c>
      <c r="AX13" s="76"/>
      <c r="AZ13" s="141"/>
      <c r="BA13" s="141">
        <f>(AL13+AM13)</f>
        <v>2673491.9973849999</v>
      </c>
      <c r="BC13" s="141">
        <f>+(AO13+AN13)-BA13</f>
        <v>18008.002615000121</v>
      </c>
      <c r="BD13" s="143"/>
      <c r="BE13" s="141"/>
      <c r="BF13" s="141"/>
    </row>
    <row r="14" spans="1:58" ht="76.5" hidden="1">
      <c r="A14" s="176"/>
      <c r="B14" s="6" t="s">
        <v>177</v>
      </c>
      <c r="C14" s="25" t="s">
        <v>194</v>
      </c>
      <c r="D14" s="17">
        <v>39701</v>
      </c>
      <c r="E14" s="17">
        <v>42987</v>
      </c>
      <c r="F14" s="6" t="s">
        <v>1165</v>
      </c>
      <c r="G14" s="8" t="s">
        <v>219</v>
      </c>
      <c r="H14" s="8" t="s">
        <v>219</v>
      </c>
      <c r="I14" s="11" t="s">
        <v>1185</v>
      </c>
      <c r="J14" s="140">
        <v>2110000</v>
      </c>
      <c r="K14" s="140">
        <v>0</v>
      </c>
      <c r="L14" s="140">
        <v>0</v>
      </c>
      <c r="M14" s="140" t="s">
        <v>217</v>
      </c>
      <c r="N14" s="140">
        <v>0</v>
      </c>
      <c r="O14" s="140">
        <v>0</v>
      </c>
      <c r="P14" s="140" t="s">
        <v>217</v>
      </c>
      <c r="Q14" s="140">
        <v>0</v>
      </c>
      <c r="R14" s="140">
        <v>0</v>
      </c>
      <c r="S14" s="140" t="s">
        <v>217</v>
      </c>
      <c r="T14" s="140">
        <v>0</v>
      </c>
      <c r="U14" s="140">
        <v>0</v>
      </c>
      <c r="V14" s="140" t="s">
        <v>217</v>
      </c>
      <c r="W14" s="140">
        <v>0</v>
      </c>
      <c r="X14" s="140">
        <v>0</v>
      </c>
      <c r="Y14" s="56"/>
      <c r="Z14" s="57"/>
      <c r="AA14" s="57"/>
      <c r="AB14" s="57"/>
      <c r="AC14" s="57"/>
      <c r="AD14" s="57"/>
      <c r="AE14" s="57"/>
      <c r="AF14" s="57"/>
      <c r="AG14" s="57"/>
      <c r="AH14" s="57"/>
      <c r="AI14" s="57"/>
      <c r="AJ14" s="57"/>
      <c r="AK14" s="58"/>
      <c r="AL14" s="59"/>
      <c r="AM14" s="60"/>
      <c r="AN14" s="59"/>
      <c r="AO14" s="60"/>
      <c r="AP14" s="59"/>
      <c r="AQ14" s="61"/>
      <c r="AR14" s="61"/>
      <c r="AS14" s="61"/>
      <c r="AT14" s="61"/>
      <c r="AU14" s="60"/>
      <c r="AV14" s="59"/>
      <c r="AW14" s="60"/>
      <c r="AX14" s="76"/>
      <c r="AZ14" s="141"/>
      <c r="BA14" s="141"/>
      <c r="BB14" s="143"/>
      <c r="BC14" s="141"/>
      <c r="BD14" s="143"/>
      <c r="BE14" s="141"/>
      <c r="BF14" s="141"/>
    </row>
    <row r="15" spans="1:58" ht="76.5">
      <c r="A15" s="176"/>
      <c r="B15" s="6" t="s">
        <v>170</v>
      </c>
      <c r="C15" s="25" t="s">
        <v>194</v>
      </c>
      <c r="D15" s="17">
        <v>39965</v>
      </c>
      <c r="E15" s="17">
        <v>42155</v>
      </c>
      <c r="F15" s="6" t="s">
        <v>1166</v>
      </c>
      <c r="G15" s="8" t="s">
        <v>284</v>
      </c>
      <c r="H15" s="8" t="s">
        <v>1217</v>
      </c>
      <c r="I15" s="11" t="s">
        <v>1184</v>
      </c>
      <c r="J15" s="140">
        <v>0</v>
      </c>
      <c r="K15" s="140">
        <v>800000</v>
      </c>
      <c r="L15" s="140" t="s">
        <v>229</v>
      </c>
      <c r="M15" s="140">
        <v>0</v>
      </c>
      <c r="N15" s="140" t="s">
        <v>217</v>
      </c>
      <c r="O15" s="140" t="s">
        <v>229</v>
      </c>
      <c r="P15" s="140">
        <v>0</v>
      </c>
      <c r="Q15" s="140" t="s">
        <v>217</v>
      </c>
      <c r="R15" s="140" t="s">
        <v>229</v>
      </c>
      <c r="S15" s="140">
        <v>0</v>
      </c>
      <c r="T15" s="140" t="s">
        <v>217</v>
      </c>
      <c r="U15" s="140" t="s">
        <v>229</v>
      </c>
      <c r="V15" s="140">
        <v>0</v>
      </c>
      <c r="W15" s="140" t="s">
        <v>217</v>
      </c>
      <c r="X15" s="140" t="s">
        <v>229</v>
      </c>
      <c r="Y15" s="63">
        <v>0.24</v>
      </c>
      <c r="Z15" s="104">
        <v>3640000</v>
      </c>
      <c r="AA15" s="57"/>
      <c r="AB15" s="57"/>
      <c r="AC15" s="57"/>
      <c r="AD15" s="104"/>
      <c r="AE15" s="57"/>
      <c r="AF15" s="57"/>
      <c r="AG15" s="57"/>
      <c r="AH15" s="131"/>
      <c r="AI15" s="64"/>
      <c r="AJ15" s="64">
        <f>Y15*Z15</f>
        <v>873600</v>
      </c>
      <c r="AK15" s="68">
        <f>K15</f>
        <v>800000</v>
      </c>
      <c r="AL15" s="78">
        <f>AJ15</f>
        <v>873600</v>
      </c>
      <c r="AM15" s="78">
        <v>0</v>
      </c>
      <c r="AN15" s="67"/>
      <c r="AO15" s="68">
        <v>849960</v>
      </c>
      <c r="AP15" s="59"/>
      <c r="AQ15" s="64">
        <v>504041</v>
      </c>
      <c r="AR15" s="61"/>
      <c r="AS15" s="64">
        <v>495810</v>
      </c>
      <c r="AT15" s="61"/>
      <c r="AU15" s="68">
        <v>849960</v>
      </c>
      <c r="AV15" s="67">
        <f>AT15-AR15+AP15</f>
        <v>0</v>
      </c>
      <c r="AW15" s="68">
        <f>AU15-AS15+AQ15</f>
        <v>858191</v>
      </c>
      <c r="AX15" s="76"/>
      <c r="AZ15" s="141"/>
      <c r="BA15" s="141">
        <f>(AL15+AM15)</f>
        <v>873600</v>
      </c>
      <c r="BC15" s="141">
        <f>+(AO15+AN15)-BA15</f>
        <v>-23640</v>
      </c>
      <c r="BD15" s="143"/>
      <c r="BE15" s="141"/>
      <c r="BF15" s="141"/>
    </row>
    <row r="16" spans="1:58" ht="76.5" hidden="1">
      <c r="A16" s="176"/>
      <c r="B16" s="6" t="s">
        <v>175</v>
      </c>
      <c r="C16" s="25" t="s">
        <v>194</v>
      </c>
      <c r="D16" s="251">
        <v>38231</v>
      </c>
      <c r="E16" s="17">
        <v>42735</v>
      </c>
      <c r="F16" s="6" t="s">
        <v>1167</v>
      </c>
      <c r="G16" s="8" t="s">
        <v>219</v>
      </c>
      <c r="H16" s="8" t="s">
        <v>219</v>
      </c>
      <c r="I16" s="11" t="s">
        <v>1184</v>
      </c>
      <c r="J16" s="140">
        <v>1378261.5508588012</v>
      </c>
      <c r="K16" s="140">
        <v>0</v>
      </c>
      <c r="L16" s="140">
        <v>0</v>
      </c>
      <c r="M16" s="140" t="s">
        <v>1067</v>
      </c>
      <c r="N16" s="140">
        <v>0</v>
      </c>
      <c r="O16" s="140">
        <v>0</v>
      </c>
      <c r="P16" s="140" t="s">
        <v>1068</v>
      </c>
      <c r="Q16" s="140">
        <v>0</v>
      </c>
      <c r="R16" s="140">
        <v>0</v>
      </c>
      <c r="S16" s="140">
        <v>0</v>
      </c>
      <c r="T16" s="140">
        <v>0</v>
      </c>
      <c r="U16" s="140">
        <v>0</v>
      </c>
      <c r="V16" s="140">
        <v>0</v>
      </c>
      <c r="W16" s="140">
        <v>0</v>
      </c>
      <c r="X16" s="140">
        <v>0</v>
      </c>
      <c r="Y16" s="56"/>
      <c r="Z16" s="57"/>
      <c r="AA16" s="57"/>
      <c r="AB16" s="57"/>
      <c r="AC16" s="57"/>
      <c r="AD16" s="57"/>
      <c r="AE16" s="57"/>
      <c r="AF16" s="57"/>
      <c r="AG16" s="57"/>
      <c r="AH16" s="57"/>
      <c r="AI16" s="57"/>
      <c r="AJ16" s="57"/>
      <c r="AK16" s="58"/>
      <c r="AL16" s="59"/>
      <c r="AM16" s="60"/>
      <c r="AN16" s="59"/>
      <c r="AO16" s="60"/>
      <c r="AP16" s="59"/>
      <c r="AQ16" s="61"/>
      <c r="AR16" s="61"/>
      <c r="AS16" s="61"/>
      <c r="AT16" s="61"/>
      <c r="AU16" s="60"/>
      <c r="AV16" s="59"/>
      <c r="AW16" s="60"/>
      <c r="AX16" s="76"/>
      <c r="AZ16" s="141"/>
      <c r="BA16" s="141"/>
      <c r="BB16" s="143"/>
      <c r="BC16" s="141"/>
      <c r="BD16" s="143"/>
      <c r="BE16" s="141"/>
      <c r="BF16" s="141"/>
    </row>
    <row r="17" spans="1:58" ht="25.5" hidden="1">
      <c r="A17" s="176"/>
      <c r="B17" s="6" t="s">
        <v>171</v>
      </c>
      <c r="C17" s="25" t="s">
        <v>194</v>
      </c>
      <c r="D17" s="17">
        <v>38197</v>
      </c>
      <c r="E17" s="17">
        <v>41484</v>
      </c>
      <c r="F17" s="6" t="s">
        <v>1168</v>
      </c>
      <c r="G17" s="8" t="s">
        <v>219</v>
      </c>
      <c r="H17" s="8" t="s">
        <v>219</v>
      </c>
      <c r="I17" s="11" t="s">
        <v>1185</v>
      </c>
      <c r="J17" s="140">
        <v>2548135.1487226887</v>
      </c>
      <c r="K17" s="140">
        <v>0</v>
      </c>
      <c r="L17" s="140">
        <v>0</v>
      </c>
      <c r="M17" s="140" t="s">
        <v>217</v>
      </c>
      <c r="N17" s="140">
        <v>0</v>
      </c>
      <c r="O17" s="140">
        <v>0</v>
      </c>
      <c r="P17" s="140" t="s">
        <v>217</v>
      </c>
      <c r="Q17" s="140">
        <v>0</v>
      </c>
      <c r="R17" s="140">
        <v>0</v>
      </c>
      <c r="S17" s="140" t="s">
        <v>217</v>
      </c>
      <c r="T17" s="140">
        <v>0</v>
      </c>
      <c r="U17" s="140">
        <v>0</v>
      </c>
      <c r="V17" s="140" t="s">
        <v>217</v>
      </c>
      <c r="W17" s="140">
        <v>0</v>
      </c>
      <c r="X17" s="140">
        <v>0</v>
      </c>
      <c r="Y17" s="56"/>
      <c r="Z17" s="57"/>
      <c r="AA17" s="57"/>
      <c r="AB17" s="57"/>
      <c r="AC17" s="57"/>
      <c r="AD17" s="57"/>
      <c r="AE17" s="57"/>
      <c r="AF17" s="57"/>
      <c r="AG17" s="57"/>
      <c r="AH17" s="57"/>
      <c r="AI17" s="57"/>
      <c r="AJ17" s="57"/>
      <c r="AK17" s="58"/>
      <c r="AL17" s="59"/>
      <c r="AM17" s="60"/>
      <c r="AN17" s="59"/>
      <c r="AO17" s="60"/>
      <c r="AP17" s="59"/>
      <c r="AQ17" s="61"/>
      <c r="AR17" s="61"/>
      <c r="AS17" s="61"/>
      <c r="AT17" s="61"/>
      <c r="AU17" s="60"/>
      <c r="AV17" s="59"/>
      <c r="AW17" s="60"/>
      <c r="AX17" s="76"/>
      <c r="AZ17" s="141"/>
      <c r="BA17" s="141"/>
      <c r="BB17" s="143"/>
      <c r="BC17" s="141"/>
      <c r="BD17" s="143"/>
      <c r="BE17" s="141"/>
      <c r="BF17" s="141"/>
    </row>
    <row r="18" spans="1:58" ht="63.75">
      <c r="A18" s="176"/>
      <c r="B18" s="6" t="s">
        <v>163</v>
      </c>
      <c r="C18" s="25" t="s">
        <v>194</v>
      </c>
      <c r="D18" s="17">
        <v>36892</v>
      </c>
      <c r="E18" s="17">
        <v>43830</v>
      </c>
      <c r="F18" s="6" t="s">
        <v>1169</v>
      </c>
      <c r="G18" s="8" t="s">
        <v>218</v>
      </c>
      <c r="H18" s="8" t="s">
        <v>1144</v>
      </c>
      <c r="I18" s="11" t="s">
        <v>1184</v>
      </c>
      <c r="J18" s="140">
        <v>2223945.4780500508</v>
      </c>
      <c r="K18" s="140">
        <v>0</v>
      </c>
      <c r="L18" s="140" t="s">
        <v>1157</v>
      </c>
      <c r="M18" s="140" t="s">
        <v>217</v>
      </c>
      <c r="N18" s="140">
        <v>0</v>
      </c>
      <c r="O18" s="140" t="s">
        <v>1157</v>
      </c>
      <c r="P18" s="140" t="s">
        <v>217</v>
      </c>
      <c r="Q18" s="140">
        <v>0</v>
      </c>
      <c r="R18" s="140" t="s">
        <v>1157</v>
      </c>
      <c r="S18" s="140" t="s">
        <v>217</v>
      </c>
      <c r="T18" s="140">
        <v>0</v>
      </c>
      <c r="U18" s="140" t="s">
        <v>1157</v>
      </c>
      <c r="V18" s="140" t="s">
        <v>217</v>
      </c>
      <c r="W18" s="140">
        <v>0</v>
      </c>
      <c r="X18" s="140" t="s">
        <v>1157</v>
      </c>
      <c r="Y18" s="63">
        <v>0.06</v>
      </c>
      <c r="Z18" s="104">
        <v>9625000</v>
      </c>
      <c r="AA18" s="57"/>
      <c r="AB18" s="57"/>
      <c r="AC18" s="57"/>
      <c r="AD18" s="104"/>
      <c r="AE18" s="57"/>
      <c r="AF18" s="57"/>
      <c r="AG18" s="57"/>
      <c r="AH18" s="131"/>
      <c r="AI18" s="64"/>
      <c r="AJ18" s="64">
        <f>(Z18-7455897)*Y18</f>
        <v>130146.18</v>
      </c>
      <c r="AK18" s="68">
        <f>K18</f>
        <v>0</v>
      </c>
      <c r="AL18" s="78">
        <f>AJ18</f>
        <v>130146.18</v>
      </c>
      <c r="AM18" s="78">
        <f>J18</f>
        <v>2223945.4780500508</v>
      </c>
      <c r="AN18" s="67">
        <v>128580</v>
      </c>
      <c r="AO18" s="68">
        <v>2243850</v>
      </c>
      <c r="AP18" s="67">
        <v>60825</v>
      </c>
      <c r="AQ18" s="64">
        <v>1298720</v>
      </c>
      <c r="AR18" s="64">
        <v>75005</v>
      </c>
      <c r="AS18" s="64">
        <v>1308930</v>
      </c>
      <c r="AT18" s="64">
        <v>128580</v>
      </c>
      <c r="AU18" s="68">
        <v>2243850</v>
      </c>
      <c r="AV18" s="67">
        <f>AT18-AR18+AP18</f>
        <v>114400</v>
      </c>
      <c r="AW18" s="68">
        <f>AU18-AS18+AQ18</f>
        <v>2233640</v>
      </c>
      <c r="AX18" s="76"/>
      <c r="AZ18" s="141"/>
      <c r="BA18" s="141">
        <f>(AL18+AM18)</f>
        <v>2354091.658050051</v>
      </c>
      <c r="BC18" s="141">
        <f>+(AO18+AN18)-BA18</f>
        <v>18338.341949949041</v>
      </c>
      <c r="BD18" s="143"/>
      <c r="BE18" s="141"/>
      <c r="BF18" s="141"/>
    </row>
    <row r="19" spans="1:58" ht="76.5" hidden="1">
      <c r="A19" s="176"/>
      <c r="B19" s="6" t="s">
        <v>168</v>
      </c>
      <c r="C19" s="25" t="s">
        <v>194</v>
      </c>
      <c r="D19" s="17">
        <v>39542</v>
      </c>
      <c r="E19" s="17">
        <v>46115</v>
      </c>
      <c r="F19" s="6" t="s">
        <v>1170</v>
      </c>
      <c r="G19" s="8" t="s">
        <v>220</v>
      </c>
      <c r="H19" s="8" t="s">
        <v>220</v>
      </c>
      <c r="I19" s="11" t="s">
        <v>1185</v>
      </c>
      <c r="J19" s="140">
        <v>526380.81967213121</v>
      </c>
      <c r="K19" s="140">
        <v>0</v>
      </c>
      <c r="L19" s="140">
        <v>0</v>
      </c>
      <c r="M19" s="140" t="s">
        <v>217</v>
      </c>
      <c r="N19" s="140">
        <v>0</v>
      </c>
      <c r="O19" s="140">
        <v>0</v>
      </c>
      <c r="P19" s="140" t="s">
        <v>217</v>
      </c>
      <c r="Q19" s="140">
        <v>0</v>
      </c>
      <c r="R19" s="140">
        <v>0</v>
      </c>
      <c r="S19" s="140" t="s">
        <v>217</v>
      </c>
      <c r="T19" s="140">
        <v>0</v>
      </c>
      <c r="U19" s="140">
        <v>0</v>
      </c>
      <c r="V19" s="140" t="s">
        <v>217</v>
      </c>
      <c r="W19" s="140">
        <v>0</v>
      </c>
      <c r="X19" s="140">
        <v>0</v>
      </c>
      <c r="Y19" s="56"/>
      <c r="Z19" s="57"/>
      <c r="AA19" s="57"/>
      <c r="AB19" s="57"/>
      <c r="AC19" s="57"/>
      <c r="AD19" s="57"/>
      <c r="AE19" s="57"/>
      <c r="AF19" s="57"/>
      <c r="AG19" s="57"/>
      <c r="AH19" s="57"/>
      <c r="AI19" s="57"/>
      <c r="AJ19" s="57"/>
      <c r="AK19" s="58"/>
      <c r="AL19" s="59"/>
      <c r="AM19" s="60"/>
      <c r="AN19" s="59"/>
      <c r="AO19" s="60"/>
      <c r="AP19" s="59"/>
      <c r="AQ19" s="61"/>
      <c r="AR19" s="61"/>
      <c r="AS19" s="61"/>
      <c r="AT19" s="61"/>
      <c r="AU19" s="60"/>
      <c r="AV19" s="59"/>
      <c r="AW19" s="60"/>
      <c r="AX19" s="76"/>
      <c r="AZ19" s="141"/>
      <c r="BA19" s="141"/>
      <c r="BB19" s="143"/>
      <c r="BC19" s="141"/>
      <c r="BD19" s="143"/>
      <c r="BE19" s="141"/>
      <c r="BF19" s="141"/>
    </row>
    <row r="20" spans="1:58" hidden="1">
      <c r="A20" s="176"/>
      <c r="B20" s="6" t="s">
        <v>185</v>
      </c>
      <c r="C20" s="25" t="s">
        <v>194</v>
      </c>
      <c r="D20" s="17">
        <v>36771</v>
      </c>
      <c r="E20" s="17">
        <v>40057</v>
      </c>
      <c r="F20" s="252" t="s">
        <v>1171</v>
      </c>
      <c r="G20" s="8" t="s">
        <v>220</v>
      </c>
      <c r="H20" s="8" t="s">
        <v>220</v>
      </c>
      <c r="I20" s="11" t="s">
        <v>1185</v>
      </c>
      <c r="J20" s="140">
        <v>1018409.698425</v>
      </c>
      <c r="K20" s="140">
        <v>0</v>
      </c>
      <c r="L20" s="140">
        <v>0</v>
      </c>
      <c r="M20" s="140" t="s">
        <v>217</v>
      </c>
      <c r="N20" s="140">
        <v>0</v>
      </c>
      <c r="O20" s="140">
        <v>0</v>
      </c>
      <c r="P20" s="140" t="s">
        <v>217</v>
      </c>
      <c r="Q20" s="140">
        <v>0</v>
      </c>
      <c r="R20" s="140">
        <v>0</v>
      </c>
      <c r="S20" s="140" t="s">
        <v>217</v>
      </c>
      <c r="T20" s="140">
        <v>0</v>
      </c>
      <c r="U20" s="140">
        <v>0</v>
      </c>
      <c r="V20" s="140" t="s">
        <v>217</v>
      </c>
      <c r="W20" s="140">
        <v>0</v>
      </c>
      <c r="X20" s="140">
        <v>0</v>
      </c>
      <c r="Y20" s="56"/>
      <c r="Z20" s="57"/>
      <c r="AA20" s="57"/>
      <c r="AB20" s="57"/>
      <c r="AC20" s="57"/>
      <c r="AD20" s="57"/>
      <c r="AE20" s="57"/>
      <c r="AF20" s="57"/>
      <c r="AG20" s="57"/>
      <c r="AH20" s="57"/>
      <c r="AI20" s="57"/>
      <c r="AJ20" s="57"/>
      <c r="AK20" s="58"/>
      <c r="AL20" s="59"/>
      <c r="AM20" s="60"/>
      <c r="AN20" s="59"/>
      <c r="AO20" s="60"/>
      <c r="AP20" s="59"/>
      <c r="AQ20" s="61"/>
      <c r="AR20" s="61"/>
      <c r="AS20" s="61"/>
      <c r="AT20" s="61"/>
      <c r="AU20" s="60"/>
      <c r="AV20" s="59"/>
      <c r="AW20" s="60"/>
      <c r="AX20" s="76"/>
      <c r="AZ20" s="141"/>
      <c r="BA20" s="141"/>
      <c r="BB20" s="143"/>
      <c r="BC20" s="141"/>
      <c r="BD20" s="143"/>
      <c r="BE20" s="141"/>
      <c r="BF20" s="141"/>
    </row>
    <row r="21" spans="1:58" ht="76.5">
      <c r="A21" s="176"/>
      <c r="B21" s="6" t="s">
        <v>233</v>
      </c>
      <c r="C21" s="25" t="s">
        <v>194</v>
      </c>
      <c r="D21" s="17">
        <v>41780</v>
      </c>
      <c r="E21" s="17">
        <v>44336</v>
      </c>
      <c r="F21" s="6" t="s">
        <v>1172</v>
      </c>
      <c r="G21" s="8" t="s">
        <v>218</v>
      </c>
      <c r="H21" s="8" t="s">
        <v>1144</v>
      </c>
      <c r="I21" s="11" t="s">
        <v>1184</v>
      </c>
      <c r="J21" s="140">
        <v>633333</v>
      </c>
      <c r="K21" s="140">
        <v>0</v>
      </c>
      <c r="L21" s="140" t="s">
        <v>234</v>
      </c>
      <c r="M21" s="140">
        <v>1200000</v>
      </c>
      <c r="N21" s="140">
        <v>0</v>
      </c>
      <c r="O21" s="140" t="s">
        <v>234</v>
      </c>
      <c r="P21" s="140" t="s">
        <v>217</v>
      </c>
      <c r="Q21" s="140">
        <v>0</v>
      </c>
      <c r="R21" s="140" t="s">
        <v>234</v>
      </c>
      <c r="S21" s="140" t="s">
        <v>217</v>
      </c>
      <c r="T21" s="140">
        <v>0</v>
      </c>
      <c r="U21" s="140" t="s">
        <v>234</v>
      </c>
      <c r="V21" s="140" t="s">
        <v>217</v>
      </c>
      <c r="W21" s="140">
        <v>0</v>
      </c>
      <c r="X21" s="140" t="s">
        <v>234</v>
      </c>
      <c r="Y21" s="63">
        <v>0.2</v>
      </c>
      <c r="Z21" s="104">
        <v>2121000</v>
      </c>
      <c r="AA21" s="57"/>
      <c r="AB21" s="57"/>
      <c r="AC21" s="57"/>
      <c r="AD21" s="57"/>
      <c r="AE21" s="57"/>
      <c r="AF21" s="57"/>
      <c r="AG21" s="57"/>
      <c r="AH21" s="57"/>
      <c r="AI21" s="57"/>
      <c r="AJ21" s="64">
        <f>Y21*Z21</f>
        <v>424200</v>
      </c>
      <c r="AK21" s="58"/>
      <c r="AL21" s="78">
        <f>AJ21</f>
        <v>424200</v>
      </c>
      <c r="AM21" s="78">
        <f>J21</f>
        <v>633333</v>
      </c>
      <c r="AN21" s="67">
        <v>230000</v>
      </c>
      <c r="AO21" s="68">
        <v>700000</v>
      </c>
      <c r="AP21" s="59"/>
      <c r="AQ21" s="61"/>
      <c r="AR21" s="61"/>
      <c r="AS21" s="61"/>
      <c r="AT21" s="61"/>
      <c r="AU21" s="60"/>
      <c r="AV21" s="59"/>
      <c r="AW21" s="60"/>
      <c r="AX21" s="76"/>
      <c r="AZ21" s="141"/>
      <c r="BA21" s="141">
        <f>(AL21+AM21)</f>
        <v>1057533</v>
      </c>
      <c r="BB21" s="143"/>
      <c r="BC21" s="141">
        <f>+(AO21+AN21)-BA21</f>
        <v>-127533</v>
      </c>
      <c r="BD21" s="143"/>
      <c r="BE21" s="141"/>
      <c r="BF21" s="141" t="s">
        <v>1159</v>
      </c>
    </row>
    <row r="22" spans="1:58" ht="38.25">
      <c r="A22" s="176"/>
      <c r="B22" s="6" t="s">
        <v>178</v>
      </c>
      <c r="C22" s="25" t="s">
        <v>194</v>
      </c>
      <c r="D22" s="17">
        <v>41264</v>
      </c>
      <c r="E22" s="17">
        <v>45804</v>
      </c>
      <c r="F22" s="6" t="s">
        <v>1173</v>
      </c>
      <c r="G22" s="8" t="s">
        <v>218</v>
      </c>
      <c r="H22" s="8" t="s">
        <v>1144</v>
      </c>
      <c r="I22" s="11" t="s">
        <v>1184</v>
      </c>
      <c r="J22" s="140">
        <v>1200000</v>
      </c>
      <c r="K22" s="140">
        <v>0</v>
      </c>
      <c r="L22" s="140">
        <v>0</v>
      </c>
      <c r="M22" s="140">
        <v>1300000</v>
      </c>
      <c r="N22" s="140">
        <v>0</v>
      </c>
      <c r="O22" s="140">
        <v>0</v>
      </c>
      <c r="P22" s="140" t="s">
        <v>217</v>
      </c>
      <c r="Q22" s="140">
        <v>0</v>
      </c>
      <c r="R22" s="140" t="s">
        <v>227</v>
      </c>
      <c r="S22" s="140" t="s">
        <v>217</v>
      </c>
      <c r="T22" s="140">
        <v>0</v>
      </c>
      <c r="U22" s="140" t="s">
        <v>227</v>
      </c>
      <c r="V22" s="140" t="s">
        <v>217</v>
      </c>
      <c r="W22" s="140">
        <v>0</v>
      </c>
      <c r="X22" s="140" t="s">
        <v>227</v>
      </c>
      <c r="Y22" s="63"/>
      <c r="Z22" s="104"/>
      <c r="AA22" s="57"/>
      <c r="AB22" s="57"/>
      <c r="AC22" s="57"/>
      <c r="AD22" s="104"/>
      <c r="AE22" s="57"/>
      <c r="AF22" s="57"/>
      <c r="AG22" s="57"/>
      <c r="AH22" s="131"/>
      <c r="AI22" s="64"/>
      <c r="AJ22" s="64"/>
      <c r="AK22" s="68"/>
      <c r="AL22" s="78">
        <v>0</v>
      </c>
      <c r="AM22" s="78">
        <f>J22</f>
        <v>1200000</v>
      </c>
      <c r="AN22" s="67"/>
      <c r="AO22" s="68">
        <v>1200000</v>
      </c>
      <c r="AP22" s="67"/>
      <c r="AQ22" s="64">
        <v>711036</v>
      </c>
      <c r="AR22" s="64"/>
      <c r="AS22" s="64">
        <v>700000</v>
      </c>
      <c r="AT22" s="64"/>
      <c r="AU22" s="68">
        <v>1200000</v>
      </c>
      <c r="AV22" s="67">
        <f>AT22-AR22+AP22</f>
        <v>0</v>
      </c>
      <c r="AW22" s="68">
        <f>AU22-AS22+AQ22</f>
        <v>1211036</v>
      </c>
      <c r="AX22" s="76"/>
      <c r="AZ22" s="141"/>
      <c r="BA22" s="141">
        <f>(AL22+AM22)</f>
        <v>1200000</v>
      </c>
      <c r="BC22" s="141">
        <f>+(AO22+AN22)-BA22</f>
        <v>0</v>
      </c>
      <c r="BD22" s="143"/>
      <c r="BE22" s="141"/>
      <c r="BF22" s="141"/>
    </row>
    <row r="23" spans="1:58" ht="38.25">
      <c r="A23" s="176"/>
      <c r="B23" s="6" t="s">
        <v>183</v>
      </c>
      <c r="C23" s="25" t="s">
        <v>194</v>
      </c>
      <c r="D23" s="17">
        <v>41275</v>
      </c>
      <c r="E23" s="17">
        <v>44561</v>
      </c>
      <c r="F23" s="6" t="s">
        <v>1174</v>
      </c>
      <c r="G23" s="8" t="s">
        <v>218</v>
      </c>
      <c r="H23" s="8" t="s">
        <v>1144</v>
      </c>
      <c r="I23" s="11" t="s">
        <v>1185</v>
      </c>
      <c r="J23" s="140">
        <v>1282287.25</v>
      </c>
      <c r="K23" s="140">
        <v>0</v>
      </c>
      <c r="L23" s="140" t="s">
        <v>222</v>
      </c>
      <c r="M23" s="140" t="s">
        <v>217</v>
      </c>
      <c r="N23" s="140">
        <v>0</v>
      </c>
      <c r="O23" s="140" t="s">
        <v>222</v>
      </c>
      <c r="P23" s="140" t="s">
        <v>217</v>
      </c>
      <c r="Q23" s="140">
        <v>0</v>
      </c>
      <c r="R23" s="140" t="s">
        <v>222</v>
      </c>
      <c r="S23" s="140" t="s">
        <v>217</v>
      </c>
      <c r="T23" s="140">
        <v>0</v>
      </c>
      <c r="U23" s="140" t="s">
        <v>222</v>
      </c>
      <c r="V23" s="140" t="s">
        <v>217</v>
      </c>
      <c r="W23" s="140">
        <v>0</v>
      </c>
      <c r="X23" s="140" t="s">
        <v>222</v>
      </c>
      <c r="Y23" s="63">
        <v>0.1</v>
      </c>
      <c r="Z23" s="104">
        <v>6583000</v>
      </c>
      <c r="AA23" s="57"/>
      <c r="AB23" s="57"/>
      <c r="AC23" s="57"/>
      <c r="AD23" s="104"/>
      <c r="AE23" s="57"/>
      <c r="AF23" s="57"/>
      <c r="AG23" s="57"/>
      <c r="AH23" s="131"/>
      <c r="AI23" s="64"/>
      <c r="AJ23" s="64">
        <f>(Z23-2415000)*Y23</f>
        <v>416800</v>
      </c>
      <c r="AK23" s="68"/>
      <c r="AL23" s="78">
        <f>AJ23</f>
        <v>416800</v>
      </c>
      <c r="AM23" s="78">
        <f>J23</f>
        <v>1282287.25</v>
      </c>
      <c r="AN23" s="67">
        <v>238360</v>
      </c>
      <c r="AO23" s="68">
        <v>1284300</v>
      </c>
      <c r="AP23" s="67">
        <v>135191</v>
      </c>
      <c r="AQ23" s="64">
        <v>744874</v>
      </c>
      <c r="AR23" s="64">
        <v>139020</v>
      </c>
      <c r="AS23" s="64">
        <v>749000</v>
      </c>
      <c r="AT23" s="64">
        <v>238360</v>
      </c>
      <c r="AU23" s="68">
        <v>1284300</v>
      </c>
      <c r="AV23" s="67">
        <f>AT23-AR23+AP23</f>
        <v>234531</v>
      </c>
      <c r="AW23" s="68">
        <f>AU23-AS23+AQ23</f>
        <v>1280174</v>
      </c>
      <c r="AX23" s="76"/>
      <c r="AZ23" s="141"/>
      <c r="BA23" s="141">
        <f>(AL23+AM23)</f>
        <v>1699087.25</v>
      </c>
      <c r="BC23" s="141">
        <f>+(AO23+AN23)-BA23</f>
        <v>-176427.25</v>
      </c>
      <c r="BD23" s="143"/>
      <c r="BE23" s="141"/>
      <c r="BF23" s="141" t="s">
        <v>1159</v>
      </c>
    </row>
    <row r="24" spans="1:58" ht="51" hidden="1">
      <c r="A24" s="176"/>
      <c r="B24" s="6" t="s">
        <v>164</v>
      </c>
      <c r="C24" s="25" t="s">
        <v>194</v>
      </c>
      <c r="D24" s="17">
        <v>41424</v>
      </c>
      <c r="E24" s="17">
        <v>43719</v>
      </c>
      <c r="F24" s="6" t="s">
        <v>1175</v>
      </c>
      <c r="G24" s="8" t="s">
        <v>219</v>
      </c>
      <c r="H24" s="8" t="s">
        <v>219</v>
      </c>
      <c r="I24" s="11" t="s">
        <v>1185</v>
      </c>
      <c r="J24" s="140">
        <v>1000000</v>
      </c>
      <c r="K24" s="140">
        <v>0</v>
      </c>
      <c r="L24" s="140">
        <v>0</v>
      </c>
      <c r="M24" s="140" t="s">
        <v>217</v>
      </c>
      <c r="N24" s="140">
        <v>0</v>
      </c>
      <c r="O24" s="140">
        <v>0</v>
      </c>
      <c r="P24" s="140" t="s">
        <v>217</v>
      </c>
      <c r="Q24" s="140">
        <v>0</v>
      </c>
      <c r="R24" s="140">
        <v>0</v>
      </c>
      <c r="S24" s="140" t="s">
        <v>217</v>
      </c>
      <c r="T24" s="140">
        <v>0</v>
      </c>
      <c r="U24" s="140">
        <v>0</v>
      </c>
      <c r="V24" s="140" t="s">
        <v>217</v>
      </c>
      <c r="W24" s="140">
        <v>0</v>
      </c>
      <c r="X24" s="140">
        <v>0</v>
      </c>
      <c r="Y24" s="56"/>
      <c r="Z24" s="57"/>
      <c r="AA24" s="57"/>
      <c r="AB24" s="57"/>
      <c r="AC24" s="57"/>
      <c r="AD24" s="57"/>
      <c r="AE24" s="57"/>
      <c r="AF24" s="57"/>
      <c r="AG24" s="57"/>
      <c r="AH24" s="57"/>
      <c r="AI24" s="57"/>
      <c r="AJ24" s="57"/>
      <c r="AK24" s="58"/>
      <c r="AL24" s="59"/>
      <c r="AM24" s="60"/>
      <c r="AN24" s="59"/>
      <c r="AO24" s="60"/>
      <c r="AP24" s="59"/>
      <c r="AQ24" s="61"/>
      <c r="AR24" s="61"/>
      <c r="AS24" s="61"/>
      <c r="AT24" s="61"/>
      <c r="AU24" s="60"/>
      <c r="AV24" s="59"/>
      <c r="AW24" s="60"/>
      <c r="AX24" s="76"/>
      <c r="AZ24" s="141"/>
      <c r="BA24" s="141"/>
      <c r="BB24" s="143"/>
      <c r="BC24" s="141"/>
      <c r="BD24" s="143"/>
      <c r="BE24" s="141"/>
      <c r="BF24" s="141"/>
    </row>
    <row r="25" spans="1:58" ht="51">
      <c r="A25" s="176"/>
      <c r="B25" s="6" t="s">
        <v>223</v>
      </c>
      <c r="C25" s="25" t="s">
        <v>194</v>
      </c>
      <c r="D25" s="17">
        <v>41421</v>
      </c>
      <c r="E25" s="17">
        <v>44196</v>
      </c>
      <c r="F25" s="6" t="s">
        <v>1176</v>
      </c>
      <c r="G25" s="8" t="s">
        <v>284</v>
      </c>
      <c r="H25" s="8" t="s">
        <v>1217</v>
      </c>
      <c r="I25" s="11" t="s">
        <v>1184</v>
      </c>
      <c r="J25" s="140">
        <v>0</v>
      </c>
      <c r="K25" s="140">
        <v>1000000</v>
      </c>
      <c r="L25" s="140" t="s">
        <v>224</v>
      </c>
      <c r="M25" s="140">
        <v>0</v>
      </c>
      <c r="N25" s="140">
        <v>1100000</v>
      </c>
      <c r="O25" s="140" t="s">
        <v>225</v>
      </c>
      <c r="P25" s="140">
        <v>0</v>
      </c>
      <c r="Q25" s="140" t="s">
        <v>217</v>
      </c>
      <c r="R25" s="140" t="s">
        <v>225</v>
      </c>
      <c r="S25" s="140">
        <v>0</v>
      </c>
      <c r="T25" s="140" t="s">
        <v>217</v>
      </c>
      <c r="U25" s="140" t="s">
        <v>225</v>
      </c>
      <c r="V25" s="140">
        <v>0</v>
      </c>
      <c r="W25" s="140" t="s">
        <v>217</v>
      </c>
      <c r="X25" s="140" t="s">
        <v>225</v>
      </c>
      <c r="Y25" s="63">
        <v>0.19</v>
      </c>
      <c r="Z25" s="104">
        <f>1483000+3827000</f>
        <v>5310000</v>
      </c>
      <c r="AA25" s="57"/>
      <c r="AB25" s="57"/>
      <c r="AC25" s="57"/>
      <c r="AD25" s="104"/>
      <c r="AE25" s="57"/>
      <c r="AF25" s="57"/>
      <c r="AG25" s="57"/>
      <c r="AH25" s="131"/>
      <c r="AI25" s="64"/>
      <c r="AJ25" s="64">
        <f>Y25*Z25</f>
        <v>1008900</v>
      </c>
      <c r="AK25" s="68">
        <v>1000000</v>
      </c>
      <c r="AL25" s="78">
        <f>AJ25</f>
        <v>1008900</v>
      </c>
      <c r="AM25" s="78">
        <v>0</v>
      </c>
      <c r="AN25" s="67">
        <v>0</v>
      </c>
      <c r="AO25" s="68">
        <v>1000000</v>
      </c>
      <c r="AP25" s="67">
        <f>4234+14790</f>
        <v>19024</v>
      </c>
      <c r="AQ25" s="64">
        <f>175658+411144</f>
        <v>586802</v>
      </c>
      <c r="AR25" s="64"/>
      <c r="AS25" s="64">
        <f>175000+408310</f>
        <v>583310</v>
      </c>
      <c r="AT25" s="64"/>
      <c r="AU25" s="68">
        <f>300000+700000</f>
        <v>1000000</v>
      </c>
      <c r="AV25" s="67">
        <f>AT25-AR25+AP25</f>
        <v>19024</v>
      </c>
      <c r="AW25" s="68">
        <f>AU25-AS25+AQ25</f>
        <v>1003492</v>
      </c>
      <c r="AX25" s="76"/>
      <c r="AZ25" s="141"/>
      <c r="BA25" s="141">
        <f>(AL25+AM25)</f>
        <v>1008900</v>
      </c>
      <c r="BC25" s="141">
        <f>+(AO25+AN25)-BA25</f>
        <v>-8900</v>
      </c>
      <c r="BD25" s="143"/>
      <c r="BE25" s="141"/>
      <c r="BF25" s="141"/>
    </row>
    <row r="26" spans="1:58" ht="25.5" hidden="1">
      <c r="A26" s="258"/>
      <c r="B26" s="6" t="s">
        <v>187</v>
      </c>
      <c r="C26" s="25" t="s">
        <v>194</v>
      </c>
      <c r="D26" s="17">
        <v>36366</v>
      </c>
      <c r="E26" s="17">
        <v>47324</v>
      </c>
      <c r="F26" s="6" t="s">
        <v>1177</v>
      </c>
      <c r="G26" s="8" t="s">
        <v>219</v>
      </c>
      <c r="H26" s="8" t="s">
        <v>219</v>
      </c>
      <c r="I26" s="11" t="s">
        <v>1185</v>
      </c>
      <c r="J26" s="140">
        <v>1956959.590674344</v>
      </c>
      <c r="K26" s="140">
        <v>0</v>
      </c>
      <c r="L26" s="140">
        <v>0</v>
      </c>
      <c r="M26" s="140" t="s">
        <v>217</v>
      </c>
      <c r="N26" s="140">
        <v>0</v>
      </c>
      <c r="O26" s="140">
        <v>0</v>
      </c>
      <c r="P26" s="140" t="s">
        <v>217</v>
      </c>
      <c r="Q26" s="140">
        <v>0</v>
      </c>
      <c r="R26" s="140">
        <v>0</v>
      </c>
      <c r="S26" s="140" t="s">
        <v>217</v>
      </c>
      <c r="T26" s="140">
        <v>0</v>
      </c>
      <c r="U26" s="140">
        <v>0</v>
      </c>
      <c r="V26" s="140" t="s">
        <v>217</v>
      </c>
      <c r="W26" s="140">
        <v>0</v>
      </c>
      <c r="X26" s="140">
        <v>0</v>
      </c>
      <c r="Y26" s="56"/>
      <c r="Z26" s="57"/>
      <c r="AA26" s="57"/>
      <c r="AB26" s="57"/>
      <c r="AC26" s="57"/>
      <c r="AD26" s="57"/>
      <c r="AE26" s="57"/>
      <c r="AF26" s="57"/>
      <c r="AG26" s="57"/>
      <c r="AH26" s="57"/>
      <c r="AI26" s="57"/>
      <c r="AJ26" s="57"/>
      <c r="AK26" s="58"/>
      <c r="AL26" s="59"/>
      <c r="AM26" s="60"/>
      <c r="AN26" s="59"/>
      <c r="AO26" s="60"/>
      <c r="AP26" s="59"/>
      <c r="AQ26" s="61"/>
      <c r="AR26" s="61"/>
      <c r="AS26" s="61"/>
      <c r="AT26" s="61"/>
      <c r="AU26" s="60"/>
      <c r="AV26" s="59"/>
      <c r="AW26" s="60"/>
      <c r="AX26" s="76"/>
      <c r="AZ26" s="141"/>
      <c r="BA26" s="141"/>
      <c r="BB26" s="143"/>
      <c r="BC26" s="141"/>
      <c r="BD26" s="143"/>
      <c r="BE26" s="141"/>
      <c r="BF26" s="141"/>
    </row>
    <row r="27" spans="1:58" hidden="1">
      <c r="A27" s="176"/>
      <c r="B27" s="6" t="s">
        <v>174</v>
      </c>
      <c r="C27" s="25" t="s">
        <v>194</v>
      </c>
      <c r="D27" s="17">
        <v>39428</v>
      </c>
      <c r="E27" s="17">
        <v>46002</v>
      </c>
      <c r="F27" s="6" t="s">
        <v>1178</v>
      </c>
      <c r="G27" s="8" t="s">
        <v>219</v>
      </c>
      <c r="H27" s="8" t="s">
        <v>219</v>
      </c>
      <c r="I27" s="11" t="s">
        <v>1184</v>
      </c>
      <c r="J27" s="140">
        <v>988391.71910467581</v>
      </c>
      <c r="K27" s="140">
        <v>0</v>
      </c>
      <c r="L27" s="140">
        <v>0</v>
      </c>
      <c r="M27" s="140" t="s">
        <v>217</v>
      </c>
      <c r="N27" s="140">
        <v>0</v>
      </c>
      <c r="O27" s="140">
        <v>0</v>
      </c>
      <c r="P27" s="140" t="s">
        <v>217</v>
      </c>
      <c r="Q27" s="140">
        <v>0</v>
      </c>
      <c r="R27" s="140">
        <v>0</v>
      </c>
      <c r="S27" s="140" t="s">
        <v>217</v>
      </c>
      <c r="T27" s="140">
        <v>0</v>
      </c>
      <c r="U27" s="140">
        <v>0</v>
      </c>
      <c r="V27" s="140" t="s">
        <v>217</v>
      </c>
      <c r="W27" s="140">
        <v>0</v>
      </c>
      <c r="X27" s="140">
        <v>0</v>
      </c>
      <c r="Y27" s="56"/>
      <c r="Z27" s="57"/>
      <c r="AA27" s="57"/>
      <c r="AB27" s="57"/>
      <c r="AC27" s="57"/>
      <c r="AD27" s="57"/>
      <c r="AE27" s="57"/>
      <c r="AF27" s="57"/>
      <c r="AG27" s="57"/>
      <c r="AH27" s="57"/>
      <c r="AI27" s="57"/>
      <c r="AJ27" s="57"/>
      <c r="AK27" s="58"/>
      <c r="AL27" s="59"/>
      <c r="AM27" s="60"/>
      <c r="AN27" s="59"/>
      <c r="AO27" s="60"/>
      <c r="AP27" s="59"/>
      <c r="AQ27" s="61"/>
      <c r="AR27" s="61"/>
      <c r="AS27" s="61"/>
      <c r="AT27" s="61"/>
      <c r="AU27" s="60"/>
      <c r="AV27" s="59"/>
      <c r="AW27" s="60"/>
      <c r="AX27" s="76"/>
      <c r="AZ27" s="141"/>
      <c r="BA27" s="141"/>
      <c r="BB27" s="143"/>
      <c r="BC27" s="141"/>
      <c r="BD27" s="143"/>
      <c r="BE27" s="141"/>
      <c r="BF27" s="141"/>
    </row>
    <row r="28" spans="1:58" ht="63.75">
      <c r="A28" s="176"/>
      <c r="B28" s="6" t="s">
        <v>204</v>
      </c>
      <c r="C28" s="37" t="s">
        <v>194</v>
      </c>
      <c r="D28" s="17">
        <v>41759</v>
      </c>
      <c r="E28" s="17">
        <v>45045</v>
      </c>
      <c r="F28" s="6" t="s">
        <v>1160</v>
      </c>
      <c r="G28" s="8" t="s">
        <v>218</v>
      </c>
      <c r="H28" s="8" t="s">
        <v>1144</v>
      </c>
      <c r="I28" s="11" t="s">
        <v>1185</v>
      </c>
      <c r="J28" s="140">
        <v>275853.18333333335</v>
      </c>
      <c r="K28" s="140">
        <v>0</v>
      </c>
      <c r="L28" s="140" t="s">
        <v>232</v>
      </c>
      <c r="M28" s="140">
        <v>491667</v>
      </c>
      <c r="N28" s="140">
        <v>0</v>
      </c>
      <c r="O28" s="140" t="s">
        <v>232</v>
      </c>
      <c r="P28" s="140">
        <v>611429</v>
      </c>
      <c r="Q28" s="140">
        <v>0</v>
      </c>
      <c r="R28" s="140" t="s">
        <v>232</v>
      </c>
      <c r="S28" s="140" t="s">
        <v>217</v>
      </c>
      <c r="T28" s="140">
        <v>0</v>
      </c>
      <c r="U28" s="140" t="s">
        <v>232</v>
      </c>
      <c r="V28" s="140" t="s">
        <v>217</v>
      </c>
      <c r="W28" s="140">
        <v>0</v>
      </c>
      <c r="X28" s="140" t="s">
        <v>232</v>
      </c>
      <c r="Y28" s="63">
        <v>0.2</v>
      </c>
      <c r="Z28" s="104">
        <v>1650000</v>
      </c>
      <c r="AA28" s="57"/>
      <c r="AB28" s="57"/>
      <c r="AC28" s="57"/>
      <c r="AD28" s="104"/>
      <c r="AE28" s="57"/>
      <c r="AF28" s="57"/>
      <c r="AG28" s="57"/>
      <c r="AH28" s="131"/>
      <c r="AI28" s="64"/>
      <c r="AJ28" s="64">
        <f>Y28*Z28</f>
        <v>330000</v>
      </c>
      <c r="AK28" s="68">
        <f>K28</f>
        <v>0</v>
      </c>
      <c r="AL28" s="78">
        <f>AJ28-AM28</f>
        <v>54146.816666666651</v>
      </c>
      <c r="AM28" s="78">
        <f>J28</f>
        <v>275853.18333333335</v>
      </c>
      <c r="AN28" s="67">
        <v>84000</v>
      </c>
      <c r="AO28" s="68">
        <v>246000</v>
      </c>
      <c r="AP28" s="67">
        <v>6226</v>
      </c>
      <c r="AQ28" s="64">
        <v>100974</v>
      </c>
      <c r="AR28" s="64">
        <v>31500</v>
      </c>
      <c r="AS28" s="64">
        <v>92250</v>
      </c>
      <c r="AT28" s="64">
        <v>84000</v>
      </c>
      <c r="AU28" s="68">
        <v>246000</v>
      </c>
      <c r="AV28" s="67">
        <f>AT28-AR28+AP28</f>
        <v>58726</v>
      </c>
      <c r="AW28" s="68">
        <f>AU28-AS28+AQ28</f>
        <v>254724</v>
      </c>
      <c r="AX28" s="76"/>
      <c r="AZ28" s="141"/>
      <c r="BA28" s="141">
        <f>(AL28+AM28)</f>
        <v>330000</v>
      </c>
      <c r="BC28" s="141">
        <f>+(AO28+AN28)-BA28</f>
        <v>0</v>
      </c>
      <c r="BD28" s="143"/>
      <c r="BE28" s="141"/>
      <c r="BF28" s="141"/>
    </row>
    <row r="29" spans="1:58" ht="25.5">
      <c r="A29" s="176"/>
      <c r="B29" s="6" t="s">
        <v>184</v>
      </c>
      <c r="C29" s="37" t="s">
        <v>194</v>
      </c>
      <c r="D29" s="17">
        <v>36617</v>
      </c>
      <c r="E29" s="17">
        <v>43465</v>
      </c>
      <c r="F29" s="6" t="s">
        <v>1179</v>
      </c>
      <c r="G29" s="8" t="s">
        <v>218</v>
      </c>
      <c r="H29" s="8" t="s">
        <v>1144</v>
      </c>
      <c r="I29" s="11" t="s">
        <v>1185</v>
      </c>
      <c r="J29" s="140">
        <v>430016.85568530147</v>
      </c>
      <c r="K29" s="140">
        <v>0</v>
      </c>
      <c r="L29" s="140" t="s">
        <v>1069</v>
      </c>
      <c r="M29" s="140" t="s">
        <v>217</v>
      </c>
      <c r="N29" s="140">
        <v>0</v>
      </c>
      <c r="O29" s="140" t="s">
        <v>1070</v>
      </c>
      <c r="P29" s="140" t="s">
        <v>217</v>
      </c>
      <c r="Q29" s="140">
        <v>0</v>
      </c>
      <c r="R29" s="140" t="s">
        <v>1070</v>
      </c>
      <c r="S29" s="140" t="s">
        <v>217</v>
      </c>
      <c r="T29" s="140">
        <v>0</v>
      </c>
      <c r="U29" s="140" t="s">
        <v>1070</v>
      </c>
      <c r="V29" s="140" t="s">
        <v>217</v>
      </c>
      <c r="W29" s="140">
        <v>0</v>
      </c>
      <c r="X29" s="140" t="s">
        <v>1070</v>
      </c>
      <c r="Y29" s="63">
        <v>0.2</v>
      </c>
      <c r="Z29" s="104">
        <v>2616000</v>
      </c>
      <c r="AA29" s="57"/>
      <c r="AB29" s="57"/>
      <c r="AC29" s="57"/>
      <c r="AD29" s="104"/>
      <c r="AE29" s="57"/>
      <c r="AF29" s="57"/>
      <c r="AG29" s="57"/>
      <c r="AH29" s="131"/>
      <c r="AI29" s="64"/>
      <c r="AJ29" s="64">
        <f>(Z29-2389417)*Y29</f>
        <v>45316.600000000006</v>
      </c>
      <c r="AK29" s="68"/>
      <c r="AL29" s="78">
        <f>AJ29</f>
        <v>45316.600000000006</v>
      </c>
      <c r="AM29" s="78">
        <f>J29</f>
        <v>430016.85568530147</v>
      </c>
      <c r="AN29" s="67">
        <v>0</v>
      </c>
      <c r="AO29" s="68">
        <v>432430</v>
      </c>
      <c r="AP29" s="67"/>
      <c r="AQ29" s="64">
        <v>250609</v>
      </c>
      <c r="AR29" s="64"/>
      <c r="AS29" s="64">
        <v>252280</v>
      </c>
      <c r="AT29" s="64"/>
      <c r="AU29" s="68">
        <v>432430</v>
      </c>
      <c r="AV29" s="67">
        <f>AT29-AR29+AP29</f>
        <v>0</v>
      </c>
      <c r="AW29" s="68">
        <f>AU29-AS29+AQ29</f>
        <v>430759</v>
      </c>
      <c r="AX29" s="76"/>
      <c r="AZ29" s="141"/>
      <c r="BA29" s="141">
        <f>(AL29+AM29)</f>
        <v>475333.45568530145</v>
      </c>
      <c r="BC29" s="141">
        <f>+(AO29+AN29)-BA29</f>
        <v>-42903.455685301451</v>
      </c>
      <c r="BD29" s="143"/>
      <c r="BE29" s="141"/>
      <c r="BF29" s="141" t="s">
        <v>1159</v>
      </c>
    </row>
    <row r="30" spans="1:58" ht="38.25" hidden="1">
      <c r="A30" s="176"/>
      <c r="B30" s="6" t="s">
        <v>169</v>
      </c>
      <c r="C30" s="25" t="s">
        <v>194</v>
      </c>
      <c r="D30" s="17">
        <v>39448</v>
      </c>
      <c r="E30" s="17">
        <v>50405</v>
      </c>
      <c r="F30" s="6" t="s">
        <v>1180</v>
      </c>
      <c r="G30" s="8" t="s">
        <v>219</v>
      </c>
      <c r="H30" s="8" t="s">
        <v>219</v>
      </c>
      <c r="I30" s="11" t="s">
        <v>1185</v>
      </c>
      <c r="J30" s="140">
        <v>262488.81560941786</v>
      </c>
      <c r="K30" s="140">
        <v>0</v>
      </c>
      <c r="L30" s="140">
        <v>0</v>
      </c>
      <c r="M30" s="140" t="s">
        <v>217</v>
      </c>
      <c r="N30" s="140">
        <v>0</v>
      </c>
      <c r="O30" s="140">
        <v>0</v>
      </c>
      <c r="P30" s="140" t="s">
        <v>217</v>
      </c>
      <c r="Q30" s="140">
        <v>0</v>
      </c>
      <c r="R30" s="140">
        <v>0</v>
      </c>
      <c r="S30" s="140" t="s">
        <v>217</v>
      </c>
      <c r="T30" s="140">
        <v>0</v>
      </c>
      <c r="U30" s="140">
        <v>0</v>
      </c>
      <c r="V30" s="140" t="s">
        <v>217</v>
      </c>
      <c r="W30" s="140">
        <v>0</v>
      </c>
      <c r="X30" s="140">
        <v>0</v>
      </c>
      <c r="Y30" s="56"/>
      <c r="Z30" s="57"/>
      <c r="AA30" s="57"/>
      <c r="AB30" s="57"/>
      <c r="AC30" s="57"/>
      <c r="AD30" s="57"/>
      <c r="AE30" s="57"/>
      <c r="AF30" s="57"/>
      <c r="AG30" s="57"/>
      <c r="AH30" s="57"/>
      <c r="AI30" s="57"/>
      <c r="AJ30" s="57"/>
      <c r="AK30" s="58"/>
      <c r="AL30" s="59"/>
      <c r="AM30" s="60"/>
      <c r="AN30" s="59"/>
      <c r="AO30" s="60"/>
      <c r="AP30" s="59"/>
      <c r="AQ30" s="61"/>
      <c r="AR30" s="61"/>
      <c r="AS30" s="61"/>
      <c r="AT30" s="61"/>
      <c r="AU30" s="60"/>
      <c r="AV30" s="59"/>
      <c r="AW30" s="60"/>
      <c r="AX30" s="76"/>
      <c r="AZ30" s="141"/>
      <c r="BA30" s="141"/>
      <c r="BB30" s="143"/>
      <c r="BC30" s="141"/>
      <c r="BD30" s="143"/>
      <c r="BE30" s="141"/>
      <c r="BF30" s="141"/>
    </row>
    <row r="31" spans="1:58" ht="38.25" hidden="1">
      <c r="A31" s="176"/>
      <c r="B31" s="6" t="s">
        <v>186</v>
      </c>
      <c r="C31" s="25" t="s">
        <v>194</v>
      </c>
      <c r="D31" s="17">
        <v>39995</v>
      </c>
      <c r="E31" s="17">
        <v>43281</v>
      </c>
      <c r="F31" s="6" t="s">
        <v>1181</v>
      </c>
      <c r="G31" s="8" t="s">
        <v>220</v>
      </c>
      <c r="H31" s="8" t="s">
        <v>220</v>
      </c>
      <c r="I31" s="11" t="s">
        <v>1184</v>
      </c>
      <c r="J31" s="140">
        <v>4496392.6873556841</v>
      </c>
      <c r="K31" s="140">
        <v>0</v>
      </c>
      <c r="L31" s="140">
        <v>0</v>
      </c>
      <c r="M31" s="140" t="s">
        <v>217</v>
      </c>
      <c r="N31" s="140">
        <v>0</v>
      </c>
      <c r="O31" s="140">
        <v>0</v>
      </c>
      <c r="P31" s="140" t="s">
        <v>217</v>
      </c>
      <c r="Q31" s="140">
        <v>0</v>
      </c>
      <c r="R31" s="140">
        <v>0</v>
      </c>
      <c r="S31" s="140" t="s">
        <v>217</v>
      </c>
      <c r="T31" s="140">
        <v>0</v>
      </c>
      <c r="U31" s="140">
        <v>0</v>
      </c>
      <c r="V31" s="140" t="s">
        <v>217</v>
      </c>
      <c r="W31" s="140">
        <v>0</v>
      </c>
      <c r="X31" s="140">
        <v>0</v>
      </c>
      <c r="Y31" s="56"/>
      <c r="Z31" s="57"/>
      <c r="AA31" s="57"/>
      <c r="AB31" s="57"/>
      <c r="AC31" s="57"/>
      <c r="AD31" s="57"/>
      <c r="AE31" s="57"/>
      <c r="AF31" s="57"/>
      <c r="AG31" s="57"/>
      <c r="AH31" s="57"/>
      <c r="AI31" s="57"/>
      <c r="AJ31" s="57"/>
      <c r="AK31" s="58"/>
      <c r="AL31" s="59"/>
      <c r="AM31" s="60"/>
      <c r="AN31" s="59"/>
      <c r="AO31" s="60"/>
      <c r="AP31" s="59"/>
      <c r="AQ31" s="61"/>
      <c r="AR31" s="61"/>
      <c r="AS31" s="61"/>
      <c r="AT31" s="61"/>
      <c r="AU31" s="60"/>
      <c r="AV31" s="59"/>
      <c r="AW31" s="60"/>
      <c r="AX31" s="76"/>
      <c r="AZ31" s="141"/>
      <c r="BA31" s="141"/>
      <c r="BB31" s="143"/>
      <c r="BC31" s="141"/>
      <c r="BD31" s="143"/>
      <c r="BE31" s="141"/>
      <c r="BF31" s="141"/>
    </row>
    <row r="32" spans="1:58" hidden="1">
      <c r="A32" s="176"/>
      <c r="B32" s="154" t="s">
        <v>190</v>
      </c>
      <c r="C32" s="26" t="s">
        <v>194</v>
      </c>
      <c r="D32" s="155"/>
      <c r="E32" s="155"/>
      <c r="F32" s="154"/>
      <c r="G32" s="156"/>
      <c r="H32" s="156"/>
      <c r="I32" s="11"/>
      <c r="J32" s="165">
        <v>0</v>
      </c>
      <c r="K32" s="165">
        <v>0</v>
      </c>
      <c r="L32" s="165">
        <v>0</v>
      </c>
      <c r="M32" s="165">
        <v>0</v>
      </c>
      <c r="N32" s="165">
        <v>0</v>
      </c>
      <c r="O32" s="165">
        <v>0</v>
      </c>
      <c r="P32" s="165">
        <v>0</v>
      </c>
      <c r="Q32" s="165">
        <v>0</v>
      </c>
      <c r="R32" s="165">
        <v>0</v>
      </c>
      <c r="S32" s="165">
        <v>0</v>
      </c>
      <c r="T32" s="165">
        <v>0</v>
      </c>
      <c r="U32" s="165">
        <v>0</v>
      </c>
      <c r="V32" s="165">
        <v>0</v>
      </c>
      <c r="W32" s="165">
        <v>0</v>
      </c>
      <c r="X32" s="165">
        <v>0</v>
      </c>
      <c r="Y32" s="160"/>
      <c r="Z32" s="146"/>
      <c r="AA32" s="146"/>
      <c r="AB32" s="146"/>
      <c r="AC32" s="146"/>
      <c r="AD32" s="146"/>
      <c r="AE32" s="146"/>
      <c r="AF32" s="146"/>
      <c r="AG32" s="146"/>
      <c r="AH32" s="146"/>
      <c r="AI32" s="146"/>
      <c r="AJ32" s="146"/>
      <c r="AK32" s="161"/>
      <c r="AL32" s="162"/>
      <c r="AM32" s="166"/>
      <c r="AN32" s="162"/>
      <c r="AO32" s="166"/>
      <c r="AP32" s="162"/>
      <c r="AQ32" s="167"/>
      <c r="AR32" s="167"/>
      <c r="AS32" s="167"/>
      <c r="AT32" s="167"/>
      <c r="AU32" s="166"/>
      <c r="AV32" s="162"/>
      <c r="AW32" s="166"/>
      <c r="AX32" s="76"/>
      <c r="AZ32" s="141"/>
      <c r="BA32" s="141"/>
      <c r="BB32" s="143"/>
      <c r="BC32" s="141"/>
      <c r="BD32" s="143"/>
      <c r="BE32" s="141"/>
      <c r="BF32" s="141"/>
    </row>
    <row r="33" spans="1:58" ht="38.25" hidden="1">
      <c r="A33" s="176"/>
      <c r="B33" s="6" t="s">
        <v>167</v>
      </c>
      <c r="C33" s="25" t="s">
        <v>194</v>
      </c>
      <c r="D33" s="17">
        <v>39482</v>
      </c>
      <c r="E33" s="17">
        <v>44960</v>
      </c>
      <c r="F33" s="6" t="s">
        <v>1182</v>
      </c>
      <c r="G33" s="8" t="s">
        <v>220</v>
      </c>
      <c r="H33" s="8" t="s">
        <v>220</v>
      </c>
      <c r="I33" s="11" t="s">
        <v>1185</v>
      </c>
      <c r="J33" s="140">
        <v>720000</v>
      </c>
      <c r="K33" s="140">
        <v>0</v>
      </c>
      <c r="L33" s="140">
        <v>0</v>
      </c>
      <c r="M33" s="140">
        <v>720000</v>
      </c>
      <c r="N33" s="140">
        <v>0</v>
      </c>
      <c r="O33" s="140">
        <v>0</v>
      </c>
      <c r="P33" s="140">
        <v>720000</v>
      </c>
      <c r="Q33" s="140">
        <v>0</v>
      </c>
      <c r="R33" s="140">
        <v>0</v>
      </c>
      <c r="S33" s="140">
        <v>730000</v>
      </c>
      <c r="T33" s="140">
        <v>0</v>
      </c>
      <c r="U33" s="140">
        <v>0</v>
      </c>
      <c r="V33" s="140">
        <v>730000</v>
      </c>
      <c r="W33" s="140">
        <v>0</v>
      </c>
      <c r="X33" s="140">
        <v>0</v>
      </c>
      <c r="Y33" s="56"/>
      <c r="Z33" s="57"/>
      <c r="AA33" s="57"/>
      <c r="AB33" s="57"/>
      <c r="AC33" s="57"/>
      <c r="AD33" s="57"/>
      <c r="AE33" s="57"/>
      <c r="AF33" s="57"/>
      <c r="AG33" s="57"/>
      <c r="AH33" s="57"/>
      <c r="AI33" s="57"/>
      <c r="AJ33" s="57"/>
      <c r="AK33" s="58"/>
      <c r="AL33" s="59"/>
      <c r="AM33" s="60"/>
      <c r="AN33" s="59"/>
      <c r="AO33" s="60"/>
      <c r="AP33" s="59"/>
      <c r="AQ33" s="61"/>
      <c r="AR33" s="61"/>
      <c r="AS33" s="61"/>
      <c r="AT33" s="61"/>
      <c r="AU33" s="60"/>
      <c r="AV33" s="59"/>
      <c r="AW33" s="60"/>
      <c r="AX33" s="76"/>
      <c r="AZ33" s="141"/>
      <c r="BA33" s="141"/>
      <c r="BB33" s="143"/>
      <c r="BC33" s="141"/>
      <c r="BD33" s="143"/>
      <c r="BE33" s="141"/>
      <c r="BF33" s="141"/>
    </row>
    <row r="34" spans="1:58" ht="63.75">
      <c r="A34" s="176"/>
      <c r="B34" s="6" t="s">
        <v>165</v>
      </c>
      <c r="C34" s="37" t="s">
        <v>194</v>
      </c>
      <c r="D34" s="17">
        <v>36800</v>
      </c>
      <c r="E34" s="17">
        <v>40086</v>
      </c>
      <c r="F34" s="6" t="s">
        <v>1183</v>
      </c>
      <c r="G34" s="8" t="s">
        <v>218</v>
      </c>
      <c r="H34" s="8" t="s">
        <v>1144</v>
      </c>
      <c r="I34" s="11" t="s">
        <v>1185</v>
      </c>
      <c r="J34" s="140">
        <v>1208451.0175199755</v>
      </c>
      <c r="K34" s="140">
        <v>0</v>
      </c>
      <c r="L34" s="140" t="s">
        <v>1071</v>
      </c>
      <c r="M34" s="140" t="s">
        <v>217</v>
      </c>
      <c r="N34" s="140">
        <v>0</v>
      </c>
      <c r="O34" s="140" t="s">
        <v>1072</v>
      </c>
      <c r="P34" s="140" t="s">
        <v>217</v>
      </c>
      <c r="Q34" s="140">
        <v>0</v>
      </c>
      <c r="R34" s="140" t="s">
        <v>1072</v>
      </c>
      <c r="S34" s="140" t="s">
        <v>217</v>
      </c>
      <c r="T34" s="140">
        <v>0</v>
      </c>
      <c r="U34" s="140" t="s">
        <v>1072</v>
      </c>
      <c r="V34" s="140" t="s">
        <v>217</v>
      </c>
      <c r="W34" s="140">
        <v>0</v>
      </c>
      <c r="X34" s="140" t="s">
        <v>1072</v>
      </c>
      <c r="Y34" s="63">
        <v>0.1</v>
      </c>
      <c r="Z34" s="104">
        <v>6175000</v>
      </c>
      <c r="AA34" s="57"/>
      <c r="AB34" s="57"/>
      <c r="AC34" s="57"/>
      <c r="AD34" s="104"/>
      <c r="AE34" s="57"/>
      <c r="AF34" s="57"/>
      <c r="AG34" s="57"/>
      <c r="AH34" s="131"/>
      <c r="AI34" s="64"/>
      <c r="AJ34" s="64">
        <f>(Z34-4833804)*Y34</f>
        <v>134119.6</v>
      </c>
      <c r="AK34" s="68"/>
      <c r="AL34" s="78">
        <f>AJ34</f>
        <v>134119.6</v>
      </c>
      <c r="AM34" s="78">
        <f>J34</f>
        <v>1208451.0175199755</v>
      </c>
      <c r="AN34" s="67">
        <v>0</v>
      </c>
      <c r="AO34" s="68">
        <v>1263000</v>
      </c>
      <c r="AP34" s="67">
        <v>3917</v>
      </c>
      <c r="AQ34" s="64">
        <v>706903</v>
      </c>
      <c r="AR34" s="64"/>
      <c r="AS34" s="64">
        <v>736750</v>
      </c>
      <c r="AT34" s="64"/>
      <c r="AU34" s="68">
        <v>1263000</v>
      </c>
      <c r="AV34" s="67">
        <f>AT34-AR34+AP34</f>
        <v>3917</v>
      </c>
      <c r="AW34" s="68">
        <f>AU34-AS34+AQ34</f>
        <v>1233153</v>
      </c>
      <c r="AX34" s="76"/>
      <c r="AZ34" s="141"/>
      <c r="BA34" s="141">
        <f>(AL34+AM34)</f>
        <v>1342570.6175199756</v>
      </c>
      <c r="BC34" s="141">
        <f>+(AO34+AN34)-BA34</f>
        <v>-79570.61751997564</v>
      </c>
      <c r="BD34" s="143"/>
      <c r="BE34" s="141"/>
      <c r="BF34" s="141" t="s">
        <v>1159</v>
      </c>
    </row>
    <row r="35" spans="1:58" ht="63.75">
      <c r="A35" s="176"/>
      <c r="B35" s="6" t="s">
        <v>172</v>
      </c>
      <c r="C35" s="37" t="s">
        <v>194</v>
      </c>
      <c r="D35" s="17">
        <v>41153</v>
      </c>
      <c r="E35" s="17">
        <v>44439</v>
      </c>
      <c r="F35" s="6" t="s">
        <v>235</v>
      </c>
      <c r="G35" s="8" t="s">
        <v>284</v>
      </c>
      <c r="H35" s="8" t="s">
        <v>1217</v>
      </c>
      <c r="I35" s="11" t="s">
        <v>1185</v>
      </c>
      <c r="J35" s="140">
        <v>0</v>
      </c>
      <c r="K35" s="140">
        <f>AO35</f>
        <v>2706000</v>
      </c>
      <c r="L35" s="140" t="s">
        <v>230</v>
      </c>
      <c r="M35" s="140">
        <v>0</v>
      </c>
      <c r="N35" s="140" t="s">
        <v>217</v>
      </c>
      <c r="O35" s="140" t="s">
        <v>230</v>
      </c>
      <c r="P35" s="140">
        <v>0</v>
      </c>
      <c r="Q35" s="140" t="s">
        <v>217</v>
      </c>
      <c r="R35" s="140" t="s">
        <v>230</v>
      </c>
      <c r="S35" s="140">
        <v>0</v>
      </c>
      <c r="T35" s="140" t="s">
        <v>217</v>
      </c>
      <c r="U35" s="140" t="s">
        <v>230</v>
      </c>
      <c r="V35" s="140">
        <v>0</v>
      </c>
      <c r="W35" s="140" t="s">
        <v>217</v>
      </c>
      <c r="X35" s="140" t="s">
        <v>230</v>
      </c>
      <c r="Y35" s="142">
        <v>0.255</v>
      </c>
      <c r="Z35" s="104">
        <v>12045000</v>
      </c>
      <c r="AA35" s="57"/>
      <c r="AB35" s="57"/>
      <c r="AC35" s="57"/>
      <c r="AD35" s="104"/>
      <c r="AE35" s="57"/>
      <c r="AF35" s="57"/>
      <c r="AG35" s="57"/>
      <c r="AH35" s="131"/>
      <c r="AI35" s="64"/>
      <c r="AJ35" s="64">
        <f>Y35*Z35</f>
        <v>3071475</v>
      </c>
      <c r="AK35" s="68">
        <f>K35</f>
        <v>2706000</v>
      </c>
      <c r="AL35" s="78">
        <f>AJ35-((450000/12)*8)</f>
        <v>2771475</v>
      </c>
      <c r="AM35" s="78">
        <v>0</v>
      </c>
      <c r="AN35" s="67">
        <v>0</v>
      </c>
      <c r="AO35" s="68">
        <v>2706000</v>
      </c>
      <c r="AP35" s="67">
        <v>319119</v>
      </c>
      <c r="AQ35" s="64">
        <v>1434967</v>
      </c>
      <c r="AR35" s="64"/>
      <c r="AS35" s="64">
        <v>1578500</v>
      </c>
      <c r="AT35" s="64"/>
      <c r="AU35" s="68">
        <v>2706000</v>
      </c>
      <c r="AV35" s="67">
        <f>AT35-AR35+AP35</f>
        <v>319119</v>
      </c>
      <c r="AW35" s="68">
        <f>AU35-AS35+AQ35</f>
        <v>2562467</v>
      </c>
      <c r="AX35" s="76"/>
      <c r="AZ35" s="141"/>
      <c r="BA35" s="141">
        <f>(AL35+AM35)</f>
        <v>2771475</v>
      </c>
      <c r="BC35" s="141">
        <f>+(AO35+AN35)-BA35</f>
        <v>-65475</v>
      </c>
      <c r="BD35" s="143"/>
      <c r="BE35" s="141"/>
      <c r="BF35" s="141" t="s">
        <v>1158</v>
      </c>
    </row>
  </sheetData>
  <autoFilter ref="A4:AZ35">
    <filterColumn colId="6">
      <filters>
        <filter val="Fixed + Variable"/>
        <filter val="Variable"/>
      </filters>
    </filterColumn>
  </autoFilter>
  <mergeCells count="26">
    <mergeCell ref="A3:A4"/>
    <mergeCell ref="B3:B4"/>
    <mergeCell ref="C3:C4"/>
    <mergeCell ref="D3:D4"/>
    <mergeCell ref="E3:E4"/>
    <mergeCell ref="F3:F4"/>
    <mergeCell ref="G3:H3"/>
    <mergeCell ref="I3:I4"/>
    <mergeCell ref="J3:L3"/>
    <mergeCell ref="M3:O3"/>
    <mergeCell ref="P3:R3"/>
    <mergeCell ref="S3:U3"/>
    <mergeCell ref="V3:X3"/>
    <mergeCell ref="Y3:AK3"/>
    <mergeCell ref="AL3:AM3"/>
    <mergeCell ref="AN3:AO3"/>
    <mergeCell ref="AP3:AQ3"/>
    <mergeCell ref="AR3:AS3"/>
    <mergeCell ref="BE3:BE4"/>
    <mergeCell ref="BF3:BF4"/>
    <mergeCell ref="AT3:AU3"/>
    <mergeCell ref="AV3:AW3"/>
    <mergeCell ref="AX3:AX4"/>
    <mergeCell ref="AZ3:AZ4"/>
    <mergeCell ref="BA3:BA4"/>
    <mergeCell ref="BC3:BC4"/>
  </mergeCells>
  <conditionalFormatting sqref="BC1:BC2 BC5 BC7 BC36:BC65536">
    <cfRule type="cellIs" dxfId="140" priority="58" stopIfTrue="1" operator="greaterThan">
      <formula>0</formula>
    </cfRule>
  </conditionalFormatting>
  <conditionalFormatting sqref="BC1:BC5 BC7 BC36:BC65536">
    <cfRule type="cellIs" dxfId="139" priority="56" stopIfTrue="1" operator="equal">
      <formula>0</formula>
    </cfRule>
    <cfRule type="cellIs" dxfId="138" priority="57" stopIfTrue="1" operator="lessThan">
      <formula>0</formula>
    </cfRule>
  </conditionalFormatting>
  <conditionalFormatting sqref="BC9:BC12 BC14 BC16:BC17 BC19:BC20 BC24 BC26:BC27 BC30:BC33">
    <cfRule type="cellIs" dxfId="137" priority="55" stopIfTrue="1" operator="greaterThan">
      <formula>0</formula>
    </cfRule>
  </conditionalFormatting>
  <conditionalFormatting sqref="BC9:BC12 BC14 BC16:BC17 BC19:BC20 BC24 BC26:BC27 BC30:BC33">
    <cfRule type="cellIs" dxfId="136" priority="53" stopIfTrue="1" operator="equal">
      <formula>0</formula>
    </cfRule>
    <cfRule type="cellIs" dxfId="135" priority="54" stopIfTrue="1" operator="lessThan">
      <formula>0</formula>
    </cfRule>
  </conditionalFormatting>
  <conditionalFormatting sqref="BC9:BC12 BC14 BC16:BC17 BC19:BC20 BC24 BC26:BC27 BC30:BC33">
    <cfRule type="cellIs" dxfId="134" priority="52" stopIfTrue="1" operator="equal">
      <formula>0</formula>
    </cfRule>
  </conditionalFormatting>
  <conditionalFormatting sqref="BC9:BC12 BC14 BC16:BC17 BC19:BC20 BC24 BC26:BC27 BC30:BC33">
    <cfRule type="cellIs" dxfId="133" priority="51" stopIfTrue="1" operator="equal">
      <formula>0</formula>
    </cfRule>
  </conditionalFormatting>
  <conditionalFormatting sqref="BC8">
    <cfRule type="cellIs" dxfId="132" priority="50" stopIfTrue="1" operator="greaterThan">
      <formula>0</formula>
    </cfRule>
  </conditionalFormatting>
  <conditionalFormatting sqref="BC8">
    <cfRule type="cellIs" dxfId="131" priority="48" stopIfTrue="1" operator="equal">
      <formula>0</formula>
    </cfRule>
    <cfRule type="cellIs" dxfId="130" priority="49" stopIfTrue="1" operator="lessThan">
      <formula>0</formula>
    </cfRule>
  </conditionalFormatting>
  <conditionalFormatting sqref="BC8">
    <cfRule type="cellIs" dxfId="129" priority="47" stopIfTrue="1" operator="equal">
      <formula>0</formula>
    </cfRule>
  </conditionalFormatting>
  <conditionalFormatting sqref="BC8">
    <cfRule type="cellIs" dxfId="128" priority="46" stopIfTrue="1" operator="equal">
      <formula>0</formula>
    </cfRule>
  </conditionalFormatting>
  <conditionalFormatting sqref="BC13">
    <cfRule type="cellIs" dxfId="127" priority="45" stopIfTrue="1" operator="greaterThan">
      <formula>0</formula>
    </cfRule>
  </conditionalFormatting>
  <conditionalFormatting sqref="BC13">
    <cfRule type="cellIs" dxfId="126" priority="43" stopIfTrue="1" operator="equal">
      <formula>0</formula>
    </cfRule>
    <cfRule type="cellIs" dxfId="125" priority="44" stopIfTrue="1" operator="lessThan">
      <formula>0</formula>
    </cfRule>
  </conditionalFormatting>
  <conditionalFormatting sqref="BC13">
    <cfRule type="cellIs" dxfId="124" priority="42" stopIfTrue="1" operator="equal">
      <formula>0</formula>
    </cfRule>
  </conditionalFormatting>
  <conditionalFormatting sqref="BC13">
    <cfRule type="cellIs" dxfId="123" priority="41" stopIfTrue="1" operator="equal">
      <formula>0</formula>
    </cfRule>
  </conditionalFormatting>
  <conditionalFormatting sqref="BC15">
    <cfRule type="cellIs" dxfId="122" priority="40" stopIfTrue="1" operator="greaterThan">
      <formula>0</formula>
    </cfRule>
  </conditionalFormatting>
  <conditionalFormatting sqref="BC15">
    <cfRule type="cellIs" dxfId="121" priority="38" stopIfTrue="1" operator="equal">
      <formula>0</formula>
    </cfRule>
    <cfRule type="cellIs" dxfId="120" priority="39" stopIfTrue="1" operator="lessThan">
      <formula>0</formula>
    </cfRule>
  </conditionalFormatting>
  <conditionalFormatting sqref="BC15">
    <cfRule type="cellIs" dxfId="119" priority="37" stopIfTrue="1" operator="equal">
      <formula>0</formula>
    </cfRule>
  </conditionalFormatting>
  <conditionalFormatting sqref="BC15">
    <cfRule type="cellIs" dxfId="118" priority="36" stopIfTrue="1" operator="equal">
      <formula>0</formula>
    </cfRule>
  </conditionalFormatting>
  <conditionalFormatting sqref="BC18">
    <cfRule type="cellIs" dxfId="117" priority="35" stopIfTrue="1" operator="greaterThan">
      <formula>0</formula>
    </cfRule>
  </conditionalFormatting>
  <conditionalFormatting sqref="BC18">
    <cfRule type="cellIs" dxfId="116" priority="33" stopIfTrue="1" operator="equal">
      <formula>0</formula>
    </cfRule>
    <cfRule type="cellIs" dxfId="115" priority="34" stopIfTrue="1" operator="lessThan">
      <formula>0</formula>
    </cfRule>
  </conditionalFormatting>
  <conditionalFormatting sqref="BC18">
    <cfRule type="cellIs" dxfId="114" priority="32" stopIfTrue="1" operator="equal">
      <formula>0</formula>
    </cfRule>
  </conditionalFormatting>
  <conditionalFormatting sqref="BC18">
    <cfRule type="cellIs" dxfId="113" priority="31" stopIfTrue="1" operator="equal">
      <formula>0</formula>
    </cfRule>
  </conditionalFormatting>
  <conditionalFormatting sqref="BC6">
    <cfRule type="cellIs" dxfId="112" priority="30" stopIfTrue="1" operator="greaterThan">
      <formula>0</formula>
    </cfRule>
  </conditionalFormatting>
  <conditionalFormatting sqref="BC6">
    <cfRule type="cellIs" dxfId="111" priority="28" stopIfTrue="1" operator="equal">
      <formula>0</formula>
    </cfRule>
    <cfRule type="cellIs" dxfId="110" priority="29" stopIfTrue="1" operator="lessThan">
      <formula>0</formula>
    </cfRule>
  </conditionalFormatting>
  <conditionalFormatting sqref="BC6">
    <cfRule type="cellIs" dxfId="109" priority="27" stopIfTrue="1" operator="equal">
      <formula>0</formula>
    </cfRule>
  </conditionalFormatting>
  <conditionalFormatting sqref="BC6">
    <cfRule type="cellIs" dxfId="108" priority="26" stopIfTrue="1" operator="equal">
      <formula>0</formula>
    </cfRule>
  </conditionalFormatting>
  <conditionalFormatting sqref="BC21:BC22">
    <cfRule type="cellIs" dxfId="107" priority="25" stopIfTrue="1" operator="greaterThan">
      <formula>0</formula>
    </cfRule>
  </conditionalFormatting>
  <conditionalFormatting sqref="BC21:BC22">
    <cfRule type="cellIs" dxfId="106" priority="23" stopIfTrue="1" operator="equal">
      <formula>0</formula>
    </cfRule>
    <cfRule type="cellIs" dxfId="105" priority="24" stopIfTrue="1" operator="lessThan">
      <formula>0</formula>
    </cfRule>
  </conditionalFormatting>
  <conditionalFormatting sqref="BC21:BC22">
    <cfRule type="cellIs" dxfId="104" priority="22" stopIfTrue="1" operator="equal">
      <formula>0</formula>
    </cfRule>
  </conditionalFormatting>
  <conditionalFormatting sqref="BC21:BC22">
    <cfRule type="cellIs" dxfId="103" priority="21" stopIfTrue="1" operator="equal">
      <formula>0</formula>
    </cfRule>
  </conditionalFormatting>
  <conditionalFormatting sqref="BC23">
    <cfRule type="cellIs" dxfId="102" priority="20" stopIfTrue="1" operator="greaterThan">
      <formula>0</formula>
    </cfRule>
  </conditionalFormatting>
  <conditionalFormatting sqref="BC23">
    <cfRule type="cellIs" dxfId="101" priority="18" stopIfTrue="1" operator="equal">
      <formula>0</formula>
    </cfRule>
    <cfRule type="cellIs" dxfId="100" priority="19" stopIfTrue="1" operator="lessThan">
      <formula>0</formula>
    </cfRule>
  </conditionalFormatting>
  <conditionalFormatting sqref="BC23">
    <cfRule type="cellIs" dxfId="99" priority="17" stopIfTrue="1" operator="equal">
      <formula>0</formula>
    </cfRule>
  </conditionalFormatting>
  <conditionalFormatting sqref="BC23">
    <cfRule type="cellIs" dxfId="98" priority="16" stopIfTrue="1" operator="equal">
      <formula>0</formula>
    </cfRule>
  </conditionalFormatting>
  <conditionalFormatting sqref="BC25">
    <cfRule type="cellIs" dxfId="97" priority="15" stopIfTrue="1" operator="greaterThan">
      <formula>0</formula>
    </cfRule>
  </conditionalFormatting>
  <conditionalFormatting sqref="BC25">
    <cfRule type="cellIs" dxfId="96" priority="13" stopIfTrue="1" operator="equal">
      <formula>0</formula>
    </cfRule>
    <cfRule type="cellIs" dxfId="95" priority="14" stopIfTrue="1" operator="lessThan">
      <formula>0</formula>
    </cfRule>
  </conditionalFormatting>
  <conditionalFormatting sqref="BC25">
    <cfRule type="cellIs" dxfId="94" priority="12" stopIfTrue="1" operator="equal">
      <formula>0</formula>
    </cfRule>
  </conditionalFormatting>
  <conditionalFormatting sqref="BC25">
    <cfRule type="cellIs" dxfId="93" priority="11" stopIfTrue="1" operator="equal">
      <formula>0</formula>
    </cfRule>
  </conditionalFormatting>
  <conditionalFormatting sqref="BC28:BC29">
    <cfRule type="cellIs" dxfId="92" priority="10" stopIfTrue="1" operator="greaterThan">
      <formula>0</formula>
    </cfRule>
  </conditionalFormatting>
  <conditionalFormatting sqref="BC28:BC29">
    <cfRule type="cellIs" dxfId="91" priority="8" stopIfTrue="1" operator="equal">
      <formula>0</formula>
    </cfRule>
    <cfRule type="cellIs" dxfId="90" priority="9" stopIfTrue="1" operator="lessThan">
      <formula>0</formula>
    </cfRule>
  </conditionalFormatting>
  <conditionalFormatting sqref="BC28:BC29">
    <cfRule type="cellIs" dxfId="89" priority="7" stopIfTrue="1" operator="equal">
      <formula>0</formula>
    </cfRule>
  </conditionalFormatting>
  <conditionalFormatting sqref="BC28:BC29">
    <cfRule type="cellIs" dxfId="88" priority="6" stopIfTrue="1" operator="equal">
      <formula>0</formula>
    </cfRule>
  </conditionalFormatting>
  <conditionalFormatting sqref="BC34:BC35">
    <cfRule type="cellIs" dxfId="87" priority="5" stopIfTrue="1" operator="greaterThan">
      <formula>0</formula>
    </cfRule>
  </conditionalFormatting>
  <conditionalFormatting sqref="BC34:BC35">
    <cfRule type="cellIs" dxfId="86" priority="3" stopIfTrue="1" operator="equal">
      <formula>0</formula>
    </cfRule>
    <cfRule type="cellIs" dxfId="85" priority="4" stopIfTrue="1" operator="lessThan">
      <formula>0</formula>
    </cfRule>
  </conditionalFormatting>
  <conditionalFormatting sqref="BC34:BC35">
    <cfRule type="cellIs" dxfId="84" priority="2" stopIfTrue="1" operator="equal">
      <formula>0</formula>
    </cfRule>
  </conditionalFormatting>
  <conditionalFormatting sqref="BC34:BC35">
    <cfRule type="cellIs" dxfId="83" priority="1" stopIfTrue="1" operator="equal">
      <formula>0</formula>
    </cfRule>
  </conditionalFormatting>
  <pageMargins left="0.25" right="0.25" top="0.75" bottom="0.75" header="0.3" footer="0.3"/>
  <pageSetup paperSize="9" scale="2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G85"/>
  <sheetViews>
    <sheetView showGridLines="0" zoomScale="80" zoomScaleNormal="80" workbookViewId="0">
      <pane xSplit="3" ySplit="4" topLeftCell="D5" activePane="bottomRight" state="frozen"/>
      <selection activeCell="H3" sqref="H3:I3"/>
      <selection pane="topRight" activeCell="H3" sqref="H3:I3"/>
      <selection pane="bottomLeft" activeCell="H3" sqref="H3:I3"/>
      <selection pane="bottomRight" activeCell="H3" sqref="H3:I3"/>
    </sheetView>
  </sheetViews>
  <sheetFormatPr defaultColWidth="11.42578125" defaultRowHeight="12.75" outlineLevelCol="1"/>
  <cols>
    <col min="1" max="1" width="2.5703125" style="1" customWidth="1"/>
    <col min="2" max="2" width="29" style="1" bestFit="1" customWidth="1"/>
    <col min="3" max="3" width="40.28515625" style="1" bestFit="1" customWidth="1"/>
    <col min="4" max="4" width="18.42578125" style="1" bestFit="1" customWidth="1"/>
    <col min="5" max="5" width="18.42578125" style="1" customWidth="1"/>
    <col min="6" max="6" width="52.7109375" style="5" bestFit="1" customWidth="1"/>
    <col min="7" max="7" width="13.28515625" style="9" customWidth="1"/>
    <col min="8" max="8" width="19.28515625" style="9" customWidth="1"/>
    <col min="9" max="9" width="10.7109375" style="9" bestFit="1" customWidth="1"/>
    <col min="10" max="10" width="22" style="9" customWidth="1"/>
    <col min="11" max="12" width="21.7109375" style="12" customWidth="1"/>
    <col min="13" max="13" width="23.28515625" style="12" customWidth="1"/>
    <col min="14" max="15" width="22" style="12" customWidth="1"/>
    <col min="16" max="16" width="23.28515625" style="12" customWidth="1"/>
    <col min="17" max="18" width="21.7109375" style="12" customWidth="1"/>
    <col min="19" max="19" width="23.28515625" style="12" customWidth="1"/>
    <col min="20" max="21" width="22.28515625" style="12" customWidth="1"/>
    <col min="22" max="22" width="23.28515625" style="12" customWidth="1"/>
    <col min="23" max="24" width="23.42578125" style="12" customWidth="1"/>
    <col min="25" max="25" width="23.28515625" style="12" customWidth="1"/>
    <col min="26" max="26" width="7.5703125" style="12" bestFit="1" customWidth="1"/>
    <col min="27" max="27" width="10.28515625" style="12" bestFit="1" customWidth="1"/>
    <col min="28" max="30" width="10.28515625" style="12" hidden="1" customWidth="1"/>
    <col min="31" max="31" width="10.28515625" style="12" bestFit="1" customWidth="1"/>
    <col min="32" max="32" width="10.140625" style="12" hidden="1" customWidth="1"/>
    <col min="33" max="33" width="9.85546875" style="12" hidden="1" customWidth="1"/>
    <col min="34" max="34" width="6.85546875" style="12" hidden="1" customWidth="1"/>
    <col min="35" max="35" width="10.7109375" style="12" bestFit="1" customWidth="1"/>
    <col min="36" max="36" width="7.5703125" style="12" customWidth="1"/>
    <col min="37" max="37" width="11.28515625" style="12" bestFit="1" customWidth="1"/>
    <col min="38" max="38" width="12.42578125" style="12" bestFit="1" customWidth="1"/>
    <col min="39" max="42" width="16.140625" style="1" customWidth="1"/>
    <col min="43" max="48" width="16.140625" style="1" customWidth="1" outlineLevel="1"/>
    <col min="49" max="50" width="16.140625" style="1" customWidth="1"/>
    <col min="51" max="51" width="21.85546875" style="1" customWidth="1"/>
    <col min="52" max="52" width="11.42578125" style="1" customWidth="1"/>
    <col min="53" max="54" width="21.85546875" style="1" customWidth="1"/>
    <col min="55" max="55" width="1.85546875" style="1" customWidth="1"/>
    <col min="56" max="56" width="21.85546875" style="1" customWidth="1"/>
    <col min="57" max="57" width="2.85546875" style="1" customWidth="1"/>
    <col min="58" max="59" width="45.7109375" style="1" customWidth="1"/>
    <col min="60" max="16384" width="11.42578125" style="1"/>
  </cols>
  <sheetData>
    <row r="1" spans="1:59" s="2" customFormat="1">
      <c r="G1" s="7"/>
      <c r="H1" s="7"/>
      <c r="I1" s="7"/>
      <c r="J1" s="7"/>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59" s="2" customFormat="1" ht="13.5" thickBot="1">
      <c r="C2" s="4"/>
      <c r="G2" s="7"/>
      <c r="H2" s="7"/>
      <c r="I2" s="7"/>
      <c r="J2" s="7"/>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59" s="2" customFormat="1" ht="15.75" customHeight="1" thickBot="1">
      <c r="A3" s="302" t="s">
        <v>292</v>
      </c>
      <c r="B3" s="309" t="s">
        <v>74</v>
      </c>
      <c r="C3" s="309" t="s">
        <v>75</v>
      </c>
      <c r="D3" s="306" t="s">
        <v>195</v>
      </c>
      <c r="E3" s="306" t="s">
        <v>215</v>
      </c>
      <c r="F3" s="307" t="s">
        <v>216</v>
      </c>
      <c r="G3" s="307" t="s">
        <v>1142</v>
      </c>
      <c r="H3" s="307"/>
      <c r="I3" s="306" t="s">
        <v>196</v>
      </c>
      <c r="J3" s="302"/>
      <c r="K3" s="297">
        <v>2014</v>
      </c>
      <c r="L3" s="298"/>
      <c r="M3" s="299"/>
      <c r="N3" s="297">
        <v>2015</v>
      </c>
      <c r="O3" s="298"/>
      <c r="P3" s="299"/>
      <c r="Q3" s="297">
        <v>2016</v>
      </c>
      <c r="R3" s="298"/>
      <c r="S3" s="299"/>
      <c r="T3" s="297">
        <v>2017</v>
      </c>
      <c r="U3" s="298"/>
      <c r="V3" s="299"/>
      <c r="W3" s="297">
        <v>2018</v>
      </c>
      <c r="X3" s="298"/>
      <c r="Y3" s="299"/>
      <c r="Z3" s="306" t="s">
        <v>1189</v>
      </c>
      <c r="AA3" s="307"/>
      <c r="AB3" s="307"/>
      <c r="AC3" s="307"/>
      <c r="AD3" s="307"/>
      <c r="AE3" s="307"/>
      <c r="AF3" s="307"/>
      <c r="AG3" s="307"/>
      <c r="AH3" s="307"/>
      <c r="AI3" s="307"/>
      <c r="AJ3" s="307"/>
      <c r="AK3" s="307"/>
      <c r="AL3" s="302"/>
      <c r="AM3" s="306" t="s">
        <v>1127</v>
      </c>
      <c r="AN3" s="302"/>
      <c r="AO3" s="306" t="s">
        <v>1128</v>
      </c>
      <c r="AP3" s="302"/>
      <c r="AQ3" s="308" t="s">
        <v>283</v>
      </c>
      <c r="AR3" s="305"/>
      <c r="AS3" s="304" t="s">
        <v>282</v>
      </c>
      <c r="AT3" s="305"/>
      <c r="AU3" s="304" t="s">
        <v>281</v>
      </c>
      <c r="AV3" s="305"/>
      <c r="AW3" s="306" t="s">
        <v>1134</v>
      </c>
      <c r="AX3" s="302"/>
      <c r="AY3" s="302" t="s">
        <v>289</v>
      </c>
      <c r="BA3" s="302" t="s">
        <v>1057</v>
      </c>
      <c r="BB3" s="302" t="s">
        <v>1135</v>
      </c>
      <c r="BD3" s="302" t="s">
        <v>1125</v>
      </c>
      <c r="BF3" s="302" t="s">
        <v>1131</v>
      </c>
      <c r="BG3" s="302" t="s">
        <v>1154</v>
      </c>
    </row>
    <row r="4" spans="1:59" s="14" customFormat="1" ht="26.25" thickBot="1">
      <c r="A4" s="303"/>
      <c r="B4" s="310"/>
      <c r="C4" s="310"/>
      <c r="D4" s="311"/>
      <c r="E4" s="311"/>
      <c r="F4" s="312"/>
      <c r="G4" s="175" t="s">
        <v>1141</v>
      </c>
      <c r="H4" s="175" t="s">
        <v>1146</v>
      </c>
      <c r="I4" s="311"/>
      <c r="J4" s="303"/>
      <c r="K4" s="21" t="s">
        <v>197</v>
      </c>
      <c r="L4" s="22" t="s">
        <v>198</v>
      </c>
      <c r="M4" s="23" t="s">
        <v>199</v>
      </c>
      <c r="N4" s="21" t="s">
        <v>197</v>
      </c>
      <c r="O4" s="22" t="s">
        <v>198</v>
      </c>
      <c r="P4" s="23" t="s">
        <v>199</v>
      </c>
      <c r="Q4" s="21" t="s">
        <v>197</v>
      </c>
      <c r="R4" s="22" t="s">
        <v>198</v>
      </c>
      <c r="S4" s="23" t="s">
        <v>199</v>
      </c>
      <c r="T4" s="21" t="s">
        <v>197</v>
      </c>
      <c r="U4" s="22" t="s">
        <v>198</v>
      </c>
      <c r="V4" s="23" t="s">
        <v>199</v>
      </c>
      <c r="W4" s="21" t="s">
        <v>197</v>
      </c>
      <c r="X4" s="22" t="s">
        <v>198</v>
      </c>
      <c r="Y4" s="23" t="s">
        <v>199</v>
      </c>
      <c r="Z4" s="41" t="s">
        <v>272</v>
      </c>
      <c r="AA4" s="42" t="s">
        <v>273</v>
      </c>
      <c r="AB4" s="44" t="s">
        <v>278</v>
      </c>
      <c r="AC4" s="44" t="s">
        <v>279</v>
      </c>
      <c r="AD4" s="44" t="s">
        <v>277</v>
      </c>
      <c r="AE4" s="42" t="s">
        <v>274</v>
      </c>
      <c r="AF4" s="44" t="s">
        <v>278</v>
      </c>
      <c r="AG4" s="44" t="s">
        <v>279</v>
      </c>
      <c r="AH4" s="44" t="s">
        <v>277</v>
      </c>
      <c r="AI4" s="42" t="s">
        <v>1140</v>
      </c>
      <c r="AJ4" s="42" t="s">
        <v>275</v>
      </c>
      <c r="AK4" s="42" t="s">
        <v>276</v>
      </c>
      <c r="AL4" s="43" t="s">
        <v>280</v>
      </c>
      <c r="AM4" s="41" t="s">
        <v>284</v>
      </c>
      <c r="AN4" s="43" t="s">
        <v>288</v>
      </c>
      <c r="AO4" s="41" t="s">
        <v>284</v>
      </c>
      <c r="AP4" s="43" t="s">
        <v>288</v>
      </c>
      <c r="AQ4" s="48" t="s">
        <v>284</v>
      </c>
      <c r="AR4" s="45" t="s">
        <v>220</v>
      </c>
      <c r="AS4" s="45" t="s">
        <v>284</v>
      </c>
      <c r="AT4" s="45" t="s">
        <v>220</v>
      </c>
      <c r="AU4" s="45" t="s">
        <v>284</v>
      </c>
      <c r="AV4" s="47" t="s">
        <v>220</v>
      </c>
      <c r="AW4" s="41" t="s">
        <v>284</v>
      </c>
      <c r="AX4" s="43" t="s">
        <v>288</v>
      </c>
      <c r="AY4" s="303"/>
      <c r="BA4" s="303"/>
      <c r="BB4" s="303"/>
      <c r="BD4" s="303"/>
      <c r="BF4" s="303"/>
      <c r="BG4" s="303"/>
    </row>
    <row r="5" spans="1:59" s="92" customFormat="1">
      <c r="A5" s="176"/>
      <c r="B5" s="154" t="s">
        <v>132</v>
      </c>
      <c r="C5" s="26" t="s">
        <v>191</v>
      </c>
      <c r="D5" s="177" t="s">
        <v>221</v>
      </c>
      <c r="E5" s="155" t="e">
        <f>#REF!</f>
        <v>#REF!</v>
      </c>
      <c r="F5" s="191" t="s">
        <v>1186</v>
      </c>
      <c r="G5" s="156" t="s">
        <v>220</v>
      </c>
      <c r="H5" s="156" t="s">
        <v>220</v>
      </c>
      <c r="I5" s="178" t="e">
        <f>#REF!</f>
        <v>#REF!</v>
      </c>
      <c r="J5" s="178" t="e">
        <f>#REF!</f>
        <v>#REF!</v>
      </c>
      <c r="K5" s="158">
        <v>856659.47999999986</v>
      </c>
      <c r="L5" s="157"/>
      <c r="M5" s="157"/>
      <c r="N5" s="156" t="s">
        <v>217</v>
      </c>
      <c r="O5" s="157"/>
      <c r="P5" s="157"/>
      <c r="Q5" s="156" t="s">
        <v>217</v>
      </c>
      <c r="R5" s="157"/>
      <c r="S5" s="157"/>
      <c r="T5" s="156" t="s">
        <v>217</v>
      </c>
      <c r="U5" s="157"/>
      <c r="V5" s="157"/>
      <c r="W5" s="156" t="s">
        <v>217</v>
      </c>
      <c r="X5" s="157"/>
      <c r="Y5" s="157"/>
      <c r="Z5" s="160"/>
      <c r="AA5" s="146"/>
      <c r="AB5" s="146"/>
      <c r="AC5" s="146"/>
      <c r="AD5" s="146"/>
      <c r="AE5" s="146"/>
      <c r="AF5" s="146"/>
      <c r="AG5" s="146"/>
      <c r="AH5" s="146"/>
      <c r="AI5" s="146"/>
      <c r="AJ5" s="146"/>
      <c r="AK5" s="146"/>
      <c r="AL5" s="161"/>
      <c r="AM5" s="162"/>
      <c r="AN5" s="179">
        <f t="shared" ref="AN5:AN29" si="0">K5</f>
        <v>856659.47999999986</v>
      </c>
      <c r="AO5" s="162"/>
      <c r="AP5" s="166"/>
      <c r="AQ5" s="167"/>
      <c r="AR5" s="167"/>
      <c r="AS5" s="167"/>
      <c r="AT5" s="167"/>
      <c r="AU5" s="167"/>
      <c r="AV5" s="167"/>
      <c r="AW5" s="162"/>
      <c r="AX5" s="166"/>
      <c r="AY5" s="176"/>
      <c r="BA5" s="141"/>
      <c r="BB5" s="141">
        <f t="shared" ref="BB5:BB36" si="1">(AM5+AN5)</f>
        <v>856659.47999999986</v>
      </c>
      <c r="BC5" s="1"/>
      <c r="BD5" s="141"/>
      <c r="BE5" s="143"/>
      <c r="BF5" s="141"/>
      <c r="BG5" s="141"/>
    </row>
    <row r="6" spans="1:59" s="92" customFormat="1">
      <c r="A6" s="176"/>
      <c r="B6" s="154" t="s">
        <v>124</v>
      </c>
      <c r="C6" s="26" t="s">
        <v>191</v>
      </c>
      <c r="D6" s="177" t="s">
        <v>221</v>
      </c>
      <c r="E6" s="155" t="e">
        <f>#REF!</f>
        <v>#REF!</v>
      </c>
      <c r="F6" s="191" t="s">
        <v>1186</v>
      </c>
      <c r="G6" s="156" t="s">
        <v>220</v>
      </c>
      <c r="H6" s="156" t="s">
        <v>220</v>
      </c>
      <c r="I6" s="178" t="e">
        <f>#REF!</f>
        <v>#REF!</v>
      </c>
      <c r="J6" s="178" t="e">
        <f>#REF!</f>
        <v>#REF!</v>
      </c>
      <c r="K6" s="158">
        <v>398453.16000000003</v>
      </c>
      <c r="L6" s="157"/>
      <c r="M6" s="157"/>
      <c r="N6" s="156" t="s">
        <v>217</v>
      </c>
      <c r="O6" s="157"/>
      <c r="P6" s="157"/>
      <c r="Q6" s="156" t="s">
        <v>217</v>
      </c>
      <c r="R6" s="157"/>
      <c r="S6" s="157"/>
      <c r="T6" s="156" t="s">
        <v>217</v>
      </c>
      <c r="U6" s="157"/>
      <c r="V6" s="157"/>
      <c r="W6" s="156" t="s">
        <v>217</v>
      </c>
      <c r="X6" s="157"/>
      <c r="Y6" s="157"/>
      <c r="Z6" s="160"/>
      <c r="AA6" s="146"/>
      <c r="AB6" s="146"/>
      <c r="AC6" s="146"/>
      <c r="AD6" s="146"/>
      <c r="AE6" s="146"/>
      <c r="AF6" s="146"/>
      <c r="AG6" s="146"/>
      <c r="AH6" s="146"/>
      <c r="AI6" s="146"/>
      <c r="AJ6" s="146"/>
      <c r="AK6" s="146"/>
      <c r="AL6" s="161"/>
      <c r="AM6" s="162"/>
      <c r="AN6" s="179">
        <f t="shared" si="0"/>
        <v>398453.16000000003</v>
      </c>
      <c r="AO6" s="162"/>
      <c r="AP6" s="166"/>
      <c r="AQ6" s="167"/>
      <c r="AR6" s="167"/>
      <c r="AS6" s="167"/>
      <c r="AT6" s="167"/>
      <c r="AU6" s="167"/>
      <c r="AV6" s="167"/>
      <c r="AW6" s="162"/>
      <c r="AX6" s="166"/>
      <c r="AY6" s="176"/>
      <c r="BA6" s="141"/>
      <c r="BB6" s="141">
        <f t="shared" si="1"/>
        <v>398453.16000000003</v>
      </c>
      <c r="BC6" s="1"/>
      <c r="BD6" s="141"/>
      <c r="BE6" s="143"/>
      <c r="BF6" s="141"/>
      <c r="BG6" s="141"/>
    </row>
    <row r="7" spans="1:59" s="92" customFormat="1">
      <c r="A7" s="176"/>
      <c r="B7" s="154" t="s">
        <v>89</v>
      </c>
      <c r="C7" s="26" t="s">
        <v>191</v>
      </c>
      <c r="D7" s="177" t="s">
        <v>221</v>
      </c>
      <c r="E7" s="155">
        <v>42004</v>
      </c>
      <c r="F7" s="191" t="s">
        <v>1186</v>
      </c>
      <c r="G7" s="156" t="s">
        <v>220</v>
      </c>
      <c r="H7" s="156" t="s">
        <v>220</v>
      </c>
      <c r="I7" s="178" t="e">
        <f>#REF!</f>
        <v>#REF!</v>
      </c>
      <c r="J7" s="178" t="e">
        <f>#REF!</f>
        <v>#REF!</v>
      </c>
      <c r="K7" s="158">
        <v>734592.84000000008</v>
      </c>
      <c r="L7" s="157"/>
      <c r="M7" s="157"/>
      <c r="N7" s="156" t="s">
        <v>217</v>
      </c>
      <c r="O7" s="157"/>
      <c r="P7" s="157"/>
      <c r="Q7" s="156" t="s">
        <v>217</v>
      </c>
      <c r="R7" s="157"/>
      <c r="S7" s="157"/>
      <c r="T7" s="156" t="s">
        <v>217</v>
      </c>
      <c r="U7" s="157"/>
      <c r="V7" s="157"/>
      <c r="W7" s="156" t="s">
        <v>217</v>
      </c>
      <c r="X7" s="157"/>
      <c r="Y7" s="157"/>
      <c r="Z7" s="160"/>
      <c r="AA7" s="146"/>
      <c r="AB7" s="146"/>
      <c r="AC7" s="146"/>
      <c r="AD7" s="146"/>
      <c r="AE7" s="146"/>
      <c r="AF7" s="146"/>
      <c r="AG7" s="146"/>
      <c r="AH7" s="146"/>
      <c r="AI7" s="146"/>
      <c r="AJ7" s="146"/>
      <c r="AK7" s="146"/>
      <c r="AL7" s="161"/>
      <c r="AM7" s="162"/>
      <c r="AN7" s="179">
        <f t="shared" si="0"/>
        <v>734592.84000000008</v>
      </c>
      <c r="AO7" s="162"/>
      <c r="AP7" s="166"/>
      <c r="AQ7" s="167"/>
      <c r="AR7" s="167"/>
      <c r="AS7" s="167"/>
      <c r="AT7" s="167"/>
      <c r="AU7" s="167"/>
      <c r="AV7" s="167"/>
      <c r="AW7" s="162"/>
      <c r="AX7" s="166"/>
      <c r="AY7" s="176"/>
      <c r="BA7" s="141"/>
      <c r="BB7" s="141">
        <f t="shared" si="1"/>
        <v>734592.84000000008</v>
      </c>
      <c r="BC7" s="143"/>
      <c r="BD7" s="141"/>
      <c r="BE7" s="143"/>
      <c r="BF7" s="141"/>
      <c r="BG7" s="141"/>
    </row>
    <row r="8" spans="1:59" s="92" customFormat="1">
      <c r="A8" s="176"/>
      <c r="B8" s="154" t="s">
        <v>93</v>
      </c>
      <c r="C8" s="26" t="s">
        <v>191</v>
      </c>
      <c r="D8" s="177" t="s">
        <v>221</v>
      </c>
      <c r="E8" s="155" t="e">
        <f>#REF!</f>
        <v>#REF!</v>
      </c>
      <c r="F8" s="191" t="s">
        <v>1221</v>
      </c>
      <c r="G8" s="156" t="s">
        <v>220</v>
      </c>
      <c r="H8" s="156" t="s">
        <v>220</v>
      </c>
      <c r="I8" s="178" t="e">
        <f>#REF!</f>
        <v>#REF!</v>
      </c>
      <c r="J8" s="178" t="e">
        <f>#REF!</f>
        <v>#REF!</v>
      </c>
      <c r="K8" s="158">
        <f>K11*0.777836</f>
        <v>0</v>
      </c>
      <c r="L8" s="157"/>
      <c r="M8" s="157"/>
      <c r="N8" s="156" t="s">
        <v>217</v>
      </c>
      <c r="O8" s="157"/>
      <c r="P8" s="157"/>
      <c r="Q8" s="156" t="s">
        <v>217</v>
      </c>
      <c r="R8" s="157"/>
      <c r="S8" s="157"/>
      <c r="T8" s="156" t="s">
        <v>217</v>
      </c>
      <c r="U8" s="157"/>
      <c r="V8" s="157"/>
      <c r="W8" s="156" t="s">
        <v>217</v>
      </c>
      <c r="X8" s="157"/>
      <c r="Y8" s="157"/>
      <c r="Z8" s="160"/>
      <c r="AA8" s="146"/>
      <c r="AB8" s="146"/>
      <c r="AC8" s="146"/>
      <c r="AD8" s="146"/>
      <c r="AE8" s="146"/>
      <c r="AF8" s="146"/>
      <c r="AG8" s="146"/>
      <c r="AH8" s="146"/>
      <c r="AI8" s="146"/>
      <c r="AJ8" s="146"/>
      <c r="AK8" s="146"/>
      <c r="AL8" s="161"/>
      <c r="AM8" s="162"/>
      <c r="AN8" s="179">
        <f t="shared" si="0"/>
        <v>0</v>
      </c>
      <c r="AO8" s="162"/>
      <c r="AP8" s="166"/>
      <c r="AQ8" s="167"/>
      <c r="AR8" s="167"/>
      <c r="AS8" s="167"/>
      <c r="AT8" s="167"/>
      <c r="AU8" s="167"/>
      <c r="AV8" s="167"/>
      <c r="AW8" s="162"/>
      <c r="AX8" s="166"/>
      <c r="AY8" s="176"/>
      <c r="BA8" s="141"/>
      <c r="BB8" s="141">
        <f t="shared" si="1"/>
        <v>0</v>
      </c>
      <c r="BC8" s="1"/>
      <c r="BD8" s="141"/>
      <c r="BE8" s="143"/>
      <c r="BF8" s="141"/>
      <c r="BG8" s="141"/>
    </row>
    <row r="9" spans="1:59" s="92" customFormat="1">
      <c r="A9" s="176"/>
      <c r="B9" s="154" t="s">
        <v>133</v>
      </c>
      <c r="C9" s="26" t="s">
        <v>191</v>
      </c>
      <c r="D9" s="177" t="s">
        <v>221</v>
      </c>
      <c r="E9" s="155" t="e">
        <f>#REF!</f>
        <v>#REF!</v>
      </c>
      <c r="F9" s="191" t="s">
        <v>1222</v>
      </c>
      <c r="G9" s="156" t="s">
        <v>220</v>
      </c>
      <c r="H9" s="156" t="s">
        <v>220</v>
      </c>
      <c r="I9" s="178" t="e">
        <f>#REF!</f>
        <v>#REF!</v>
      </c>
      <c r="J9" s="178" t="e">
        <f>#REF!</f>
        <v>#REF!</v>
      </c>
      <c r="K9" s="77">
        <v>0</v>
      </c>
      <c r="L9" s="157"/>
      <c r="M9" s="157"/>
      <c r="N9" s="156"/>
      <c r="O9" s="157"/>
      <c r="P9" s="157"/>
      <c r="Q9" s="156"/>
      <c r="R9" s="157"/>
      <c r="S9" s="157"/>
      <c r="T9" s="156"/>
      <c r="U9" s="157"/>
      <c r="V9" s="157"/>
      <c r="W9" s="156"/>
      <c r="X9" s="157"/>
      <c r="Y9" s="157"/>
      <c r="Z9" s="160"/>
      <c r="AA9" s="146"/>
      <c r="AB9" s="146"/>
      <c r="AC9" s="146"/>
      <c r="AD9" s="146"/>
      <c r="AE9" s="146"/>
      <c r="AF9" s="146"/>
      <c r="AG9" s="146"/>
      <c r="AH9" s="146"/>
      <c r="AI9" s="146"/>
      <c r="AJ9" s="146"/>
      <c r="AK9" s="146"/>
      <c r="AL9" s="161"/>
      <c r="AM9" s="162"/>
      <c r="AN9" s="179">
        <f t="shared" si="0"/>
        <v>0</v>
      </c>
      <c r="AO9" s="162"/>
      <c r="AP9" s="166"/>
      <c r="AQ9" s="167"/>
      <c r="AR9" s="167"/>
      <c r="AS9" s="167"/>
      <c r="AT9" s="167"/>
      <c r="AU9" s="167"/>
      <c r="AV9" s="167"/>
      <c r="AW9" s="162"/>
      <c r="AX9" s="166"/>
      <c r="AY9" s="176"/>
      <c r="BA9" s="141"/>
      <c r="BB9" s="141">
        <f t="shared" si="1"/>
        <v>0</v>
      </c>
      <c r="BC9" s="143"/>
      <c r="BD9" s="141"/>
      <c r="BE9" s="143"/>
      <c r="BF9" s="141"/>
      <c r="BG9" s="141"/>
    </row>
    <row r="10" spans="1:59" s="92" customFormat="1">
      <c r="A10" s="176"/>
      <c r="B10" s="154" t="s">
        <v>110</v>
      </c>
      <c r="C10" s="26" t="s">
        <v>191</v>
      </c>
      <c r="D10" s="177" t="s">
        <v>221</v>
      </c>
      <c r="E10" s="155" t="e">
        <f>#REF!</f>
        <v>#REF!</v>
      </c>
      <c r="F10" s="191" t="s">
        <v>1223</v>
      </c>
      <c r="G10" s="156" t="s">
        <v>220</v>
      </c>
      <c r="H10" s="156" t="s">
        <v>220</v>
      </c>
      <c r="I10" s="178" t="e">
        <f>#REF!</f>
        <v>#REF!</v>
      </c>
      <c r="J10" s="178" t="e">
        <f>#REF!</f>
        <v>#REF!</v>
      </c>
      <c r="K10" s="158">
        <v>800000.04</v>
      </c>
      <c r="L10" s="157"/>
      <c r="M10" s="157"/>
      <c r="N10" s="156" t="s">
        <v>217</v>
      </c>
      <c r="O10" s="157"/>
      <c r="P10" s="157"/>
      <c r="Q10" s="156" t="s">
        <v>217</v>
      </c>
      <c r="R10" s="157"/>
      <c r="S10" s="157"/>
      <c r="T10" s="156" t="s">
        <v>217</v>
      </c>
      <c r="U10" s="157"/>
      <c r="V10" s="157"/>
      <c r="W10" s="156" t="s">
        <v>217</v>
      </c>
      <c r="X10" s="157"/>
      <c r="Y10" s="157"/>
      <c r="Z10" s="160"/>
      <c r="AA10" s="146"/>
      <c r="AB10" s="146"/>
      <c r="AC10" s="146"/>
      <c r="AD10" s="146"/>
      <c r="AE10" s="146"/>
      <c r="AF10" s="146"/>
      <c r="AG10" s="146"/>
      <c r="AH10" s="146"/>
      <c r="AI10" s="146"/>
      <c r="AJ10" s="146"/>
      <c r="AK10" s="146"/>
      <c r="AL10" s="161"/>
      <c r="AM10" s="162"/>
      <c r="AN10" s="179">
        <f t="shared" si="0"/>
        <v>800000.04</v>
      </c>
      <c r="AO10" s="162"/>
      <c r="AP10" s="166"/>
      <c r="AQ10" s="167"/>
      <c r="AR10" s="167"/>
      <c r="AS10" s="167"/>
      <c r="AT10" s="167"/>
      <c r="AU10" s="167"/>
      <c r="AV10" s="167"/>
      <c r="AW10" s="162"/>
      <c r="AX10" s="166"/>
      <c r="AY10" s="176"/>
      <c r="BA10" s="141"/>
      <c r="BB10" s="141">
        <f t="shared" si="1"/>
        <v>800000.04</v>
      </c>
      <c r="BC10" s="143"/>
      <c r="BD10" s="141"/>
      <c r="BE10" s="143"/>
      <c r="BF10" s="141"/>
      <c r="BG10" s="141"/>
    </row>
    <row r="11" spans="1:59" s="92" customFormat="1" ht="25.5">
      <c r="A11" s="176"/>
      <c r="B11" s="154" t="s">
        <v>1419</v>
      </c>
      <c r="C11" s="26" t="s">
        <v>191</v>
      </c>
      <c r="D11" s="177" t="s">
        <v>221</v>
      </c>
      <c r="E11" s="155" t="e">
        <f>#REF!</f>
        <v>#REF!</v>
      </c>
      <c r="F11" s="191" t="s">
        <v>1187</v>
      </c>
      <c r="G11" s="156" t="s">
        <v>220</v>
      </c>
      <c r="H11" s="156" t="s">
        <v>220</v>
      </c>
      <c r="I11" s="178" t="e">
        <f>#REF!</f>
        <v>#REF!</v>
      </c>
      <c r="J11" s="178" t="e">
        <f>#REF!</f>
        <v>#REF!</v>
      </c>
      <c r="K11" s="215">
        <v>0</v>
      </c>
      <c r="L11" s="157"/>
      <c r="M11" s="157"/>
      <c r="N11" s="156"/>
      <c r="O11" s="157"/>
      <c r="P11" s="157"/>
      <c r="Q11" s="156"/>
      <c r="R11" s="157"/>
      <c r="S11" s="157"/>
      <c r="T11" s="156"/>
      <c r="U11" s="157"/>
      <c r="V11" s="157"/>
      <c r="W11" s="156"/>
      <c r="X11" s="157"/>
      <c r="Y11" s="157"/>
      <c r="Z11" s="160"/>
      <c r="AA11" s="146"/>
      <c r="AB11" s="146"/>
      <c r="AC11" s="146"/>
      <c r="AD11" s="146"/>
      <c r="AE11" s="146"/>
      <c r="AF11" s="146"/>
      <c r="AG11" s="146"/>
      <c r="AH11" s="146"/>
      <c r="AI11" s="146"/>
      <c r="AJ11" s="146"/>
      <c r="AK11" s="146"/>
      <c r="AL11" s="161"/>
      <c r="AM11" s="162"/>
      <c r="AN11" s="179">
        <f t="shared" si="0"/>
        <v>0</v>
      </c>
      <c r="AO11" s="162"/>
      <c r="AP11" s="166"/>
      <c r="AQ11" s="167"/>
      <c r="AR11" s="167"/>
      <c r="AS11" s="167"/>
      <c r="AT11" s="167"/>
      <c r="AU11" s="167"/>
      <c r="AV11" s="167"/>
      <c r="AW11" s="162"/>
      <c r="AX11" s="166"/>
      <c r="AY11" s="176"/>
      <c r="BA11" s="141"/>
      <c r="BB11" s="141">
        <f t="shared" si="1"/>
        <v>0</v>
      </c>
      <c r="BC11" s="143"/>
      <c r="BD11" s="141"/>
      <c r="BE11" s="143"/>
      <c r="BF11" s="141"/>
      <c r="BG11" s="141"/>
    </row>
    <row r="12" spans="1:59" s="92" customFormat="1">
      <c r="A12" s="176"/>
      <c r="B12" s="154" t="s">
        <v>76</v>
      </c>
      <c r="C12" s="26" t="s">
        <v>191</v>
      </c>
      <c r="D12" s="177" t="s">
        <v>221</v>
      </c>
      <c r="E12" s="155" t="e">
        <f>#REF!</f>
        <v>#REF!</v>
      </c>
      <c r="F12" s="191" t="s">
        <v>1186</v>
      </c>
      <c r="G12" s="156" t="s">
        <v>220</v>
      </c>
      <c r="H12" s="156" t="s">
        <v>220</v>
      </c>
      <c r="I12" s="178" t="e">
        <f>#REF!</f>
        <v>#REF!</v>
      </c>
      <c r="J12" s="178" t="e">
        <f>#REF!</f>
        <v>#REF!</v>
      </c>
      <c r="K12" s="216">
        <v>2814491.16</v>
      </c>
      <c r="L12" s="157"/>
      <c r="M12" s="157"/>
      <c r="N12" s="156" t="s">
        <v>217</v>
      </c>
      <c r="O12" s="157"/>
      <c r="P12" s="157"/>
      <c r="Q12" s="156" t="s">
        <v>217</v>
      </c>
      <c r="R12" s="157"/>
      <c r="S12" s="157"/>
      <c r="T12" s="156" t="s">
        <v>217</v>
      </c>
      <c r="U12" s="157"/>
      <c r="V12" s="157"/>
      <c r="W12" s="156" t="s">
        <v>217</v>
      </c>
      <c r="X12" s="157"/>
      <c r="Y12" s="157"/>
      <c r="Z12" s="160"/>
      <c r="AA12" s="146"/>
      <c r="AB12" s="146"/>
      <c r="AC12" s="146"/>
      <c r="AD12" s="146"/>
      <c r="AE12" s="146"/>
      <c r="AF12" s="146"/>
      <c r="AG12" s="146"/>
      <c r="AH12" s="146"/>
      <c r="AI12" s="146"/>
      <c r="AJ12" s="146"/>
      <c r="AK12" s="146"/>
      <c r="AL12" s="161"/>
      <c r="AM12" s="162"/>
      <c r="AN12" s="179">
        <f t="shared" si="0"/>
        <v>2814491.16</v>
      </c>
      <c r="AO12" s="162"/>
      <c r="AP12" s="166"/>
      <c r="AQ12" s="167"/>
      <c r="AR12" s="167"/>
      <c r="AS12" s="167"/>
      <c r="AT12" s="167"/>
      <c r="AU12" s="167"/>
      <c r="AV12" s="167"/>
      <c r="AW12" s="162"/>
      <c r="AX12" s="166"/>
      <c r="AY12" s="176"/>
      <c r="BA12" s="141"/>
      <c r="BB12" s="141">
        <f t="shared" si="1"/>
        <v>2814491.16</v>
      </c>
      <c r="BC12" s="143"/>
      <c r="BD12" s="141"/>
      <c r="BE12" s="143"/>
      <c r="BF12" s="141"/>
      <c r="BG12" s="141"/>
    </row>
    <row r="13" spans="1:59" s="92" customFormat="1">
      <c r="A13" s="176"/>
      <c r="B13" s="154" t="s">
        <v>105</v>
      </c>
      <c r="C13" s="26" t="s">
        <v>191</v>
      </c>
      <c r="D13" s="177" t="s">
        <v>221</v>
      </c>
      <c r="E13" s="155" t="e">
        <f>#REF!</f>
        <v>#REF!</v>
      </c>
      <c r="F13" s="191" t="s">
        <v>1186</v>
      </c>
      <c r="G13" s="156" t="s">
        <v>220</v>
      </c>
      <c r="H13" s="156" t="s">
        <v>220</v>
      </c>
      <c r="I13" s="178" t="e">
        <f>#REF!</f>
        <v>#REF!</v>
      </c>
      <c r="J13" s="178" t="e">
        <f>#REF!</f>
        <v>#REF!</v>
      </c>
      <c r="K13" s="216">
        <v>233728.19999999998</v>
      </c>
      <c r="L13" s="157"/>
      <c r="M13" s="181"/>
      <c r="N13" s="156" t="s">
        <v>217</v>
      </c>
      <c r="O13" s="157"/>
      <c r="P13" s="181"/>
      <c r="Q13" s="156" t="s">
        <v>217</v>
      </c>
      <c r="R13" s="157"/>
      <c r="S13" s="181"/>
      <c r="T13" s="156" t="s">
        <v>217</v>
      </c>
      <c r="U13" s="157"/>
      <c r="V13" s="181"/>
      <c r="W13" s="156" t="s">
        <v>217</v>
      </c>
      <c r="X13" s="157"/>
      <c r="Y13" s="181"/>
      <c r="Z13" s="160"/>
      <c r="AA13" s="146"/>
      <c r="AB13" s="146"/>
      <c r="AC13" s="146"/>
      <c r="AD13" s="146"/>
      <c r="AE13" s="146"/>
      <c r="AF13" s="146"/>
      <c r="AG13" s="146"/>
      <c r="AH13" s="146"/>
      <c r="AI13" s="146"/>
      <c r="AJ13" s="146"/>
      <c r="AK13" s="146"/>
      <c r="AL13" s="161"/>
      <c r="AM13" s="162"/>
      <c r="AN13" s="179">
        <f t="shared" si="0"/>
        <v>233728.19999999998</v>
      </c>
      <c r="AO13" s="162"/>
      <c r="AP13" s="166"/>
      <c r="AQ13" s="167"/>
      <c r="AR13" s="167"/>
      <c r="AS13" s="167"/>
      <c r="AT13" s="167"/>
      <c r="AU13" s="167"/>
      <c r="AV13" s="167"/>
      <c r="AW13" s="162"/>
      <c r="AX13" s="166"/>
      <c r="AY13" s="176"/>
      <c r="BA13" s="141"/>
      <c r="BB13" s="141">
        <f t="shared" si="1"/>
        <v>233728.19999999998</v>
      </c>
      <c r="BC13" s="1"/>
      <c r="BD13" s="141"/>
      <c r="BE13" s="143"/>
      <c r="BF13" s="141"/>
      <c r="BG13" s="141"/>
    </row>
    <row r="14" spans="1:59" s="92" customFormat="1">
      <c r="A14" s="176"/>
      <c r="B14" s="154" t="s">
        <v>79</v>
      </c>
      <c r="C14" s="26" t="s">
        <v>191</v>
      </c>
      <c r="D14" s="177" t="s">
        <v>221</v>
      </c>
      <c r="E14" s="155" t="e">
        <f>#REF!</f>
        <v>#REF!</v>
      </c>
      <c r="F14" s="191" t="s">
        <v>1186</v>
      </c>
      <c r="G14" s="156" t="s">
        <v>220</v>
      </c>
      <c r="H14" s="156" t="s">
        <v>220</v>
      </c>
      <c r="I14" s="178" t="e">
        <f>#REF!</f>
        <v>#REF!</v>
      </c>
      <c r="J14" s="178" t="e">
        <f>#REF!</f>
        <v>#REF!</v>
      </c>
      <c r="K14" s="158">
        <v>1320214.08</v>
      </c>
      <c r="L14" s="157"/>
      <c r="M14" s="157"/>
      <c r="N14" s="156" t="s">
        <v>217</v>
      </c>
      <c r="O14" s="157"/>
      <c r="P14" s="157"/>
      <c r="Q14" s="156" t="s">
        <v>217</v>
      </c>
      <c r="R14" s="157"/>
      <c r="S14" s="157"/>
      <c r="T14" s="156" t="s">
        <v>217</v>
      </c>
      <c r="U14" s="157"/>
      <c r="V14" s="157"/>
      <c r="W14" s="156" t="s">
        <v>217</v>
      </c>
      <c r="X14" s="157"/>
      <c r="Y14" s="157"/>
      <c r="Z14" s="160"/>
      <c r="AA14" s="146"/>
      <c r="AB14" s="146"/>
      <c r="AC14" s="146"/>
      <c r="AD14" s="146"/>
      <c r="AE14" s="146"/>
      <c r="AF14" s="146"/>
      <c r="AG14" s="146"/>
      <c r="AH14" s="146"/>
      <c r="AI14" s="146"/>
      <c r="AJ14" s="146"/>
      <c r="AK14" s="146"/>
      <c r="AL14" s="161"/>
      <c r="AM14" s="162"/>
      <c r="AN14" s="179">
        <f t="shared" si="0"/>
        <v>1320214.08</v>
      </c>
      <c r="AO14" s="162"/>
      <c r="AP14" s="166"/>
      <c r="AQ14" s="167"/>
      <c r="AR14" s="167"/>
      <c r="AS14" s="167"/>
      <c r="AT14" s="167"/>
      <c r="AU14" s="167"/>
      <c r="AV14" s="167"/>
      <c r="AW14" s="162"/>
      <c r="AX14" s="166"/>
      <c r="AY14" s="176"/>
      <c r="BA14" s="141"/>
      <c r="BB14" s="141">
        <f t="shared" si="1"/>
        <v>1320214.08</v>
      </c>
      <c r="BC14" s="143"/>
      <c r="BD14" s="141"/>
      <c r="BE14" s="143"/>
      <c r="BF14" s="141"/>
      <c r="BG14" s="141"/>
    </row>
    <row r="15" spans="1:59" s="92" customFormat="1">
      <c r="A15" s="176"/>
      <c r="B15" s="154" t="s">
        <v>80</v>
      </c>
      <c r="C15" s="26" t="s">
        <v>191</v>
      </c>
      <c r="D15" s="177" t="s">
        <v>221</v>
      </c>
      <c r="E15" s="155" t="e">
        <f>#REF!</f>
        <v>#REF!</v>
      </c>
      <c r="F15" s="191" t="s">
        <v>1186</v>
      </c>
      <c r="G15" s="156" t="s">
        <v>220</v>
      </c>
      <c r="H15" s="156" t="s">
        <v>220</v>
      </c>
      <c r="I15" s="178" t="e">
        <f>#REF!</f>
        <v>#REF!</v>
      </c>
      <c r="J15" s="178" t="e">
        <f>#REF!</f>
        <v>#REF!</v>
      </c>
      <c r="K15" s="158">
        <v>598489.55999999994</v>
      </c>
      <c r="L15" s="157"/>
      <c r="M15" s="157"/>
      <c r="N15" s="156" t="s">
        <v>217</v>
      </c>
      <c r="O15" s="157"/>
      <c r="P15" s="157"/>
      <c r="Q15" s="156" t="s">
        <v>217</v>
      </c>
      <c r="R15" s="157"/>
      <c r="S15" s="157"/>
      <c r="T15" s="156" t="s">
        <v>217</v>
      </c>
      <c r="U15" s="157"/>
      <c r="V15" s="157"/>
      <c r="W15" s="156" t="s">
        <v>217</v>
      </c>
      <c r="X15" s="157"/>
      <c r="Y15" s="157"/>
      <c r="Z15" s="160"/>
      <c r="AA15" s="146"/>
      <c r="AB15" s="146"/>
      <c r="AC15" s="146"/>
      <c r="AD15" s="146"/>
      <c r="AE15" s="146"/>
      <c r="AF15" s="146"/>
      <c r="AG15" s="146"/>
      <c r="AH15" s="146"/>
      <c r="AI15" s="146"/>
      <c r="AJ15" s="146"/>
      <c r="AK15" s="146"/>
      <c r="AL15" s="161"/>
      <c r="AM15" s="162"/>
      <c r="AN15" s="179">
        <f t="shared" si="0"/>
        <v>598489.55999999994</v>
      </c>
      <c r="AO15" s="162"/>
      <c r="AP15" s="166"/>
      <c r="AQ15" s="167"/>
      <c r="AR15" s="167"/>
      <c r="AS15" s="167"/>
      <c r="AT15" s="167"/>
      <c r="AU15" s="167"/>
      <c r="AV15" s="167"/>
      <c r="AW15" s="162"/>
      <c r="AX15" s="166"/>
      <c r="AY15" s="176"/>
      <c r="BA15" s="141"/>
      <c r="BB15" s="141">
        <f t="shared" si="1"/>
        <v>598489.55999999994</v>
      </c>
      <c r="BC15" s="1"/>
      <c r="BD15" s="141"/>
      <c r="BE15" s="143"/>
      <c r="BF15" s="141"/>
      <c r="BG15" s="141"/>
    </row>
    <row r="16" spans="1:59" s="92" customFormat="1">
      <c r="A16" s="176"/>
      <c r="B16" s="154" t="s">
        <v>78</v>
      </c>
      <c r="C16" s="26" t="s">
        <v>191</v>
      </c>
      <c r="D16" s="177" t="s">
        <v>221</v>
      </c>
      <c r="E16" s="155" t="e">
        <f>#REF!</f>
        <v>#REF!</v>
      </c>
      <c r="F16" s="191" t="s">
        <v>1186</v>
      </c>
      <c r="G16" s="156" t="s">
        <v>220</v>
      </c>
      <c r="H16" s="156" t="s">
        <v>220</v>
      </c>
      <c r="I16" s="178" t="e">
        <f>#REF!</f>
        <v>#REF!</v>
      </c>
      <c r="J16" s="178" t="e">
        <f>#REF!</f>
        <v>#REF!</v>
      </c>
      <c r="K16" s="158">
        <v>1985609.88</v>
      </c>
      <c r="L16" s="157"/>
      <c r="M16" s="157"/>
      <c r="N16" s="156" t="s">
        <v>217</v>
      </c>
      <c r="O16" s="157"/>
      <c r="P16" s="157"/>
      <c r="Q16" s="156" t="s">
        <v>217</v>
      </c>
      <c r="R16" s="157"/>
      <c r="S16" s="157"/>
      <c r="T16" s="156" t="s">
        <v>217</v>
      </c>
      <c r="U16" s="157"/>
      <c r="V16" s="157"/>
      <c r="W16" s="156" t="s">
        <v>217</v>
      </c>
      <c r="X16" s="157"/>
      <c r="Y16" s="157"/>
      <c r="Z16" s="160"/>
      <c r="AA16" s="146"/>
      <c r="AB16" s="146"/>
      <c r="AC16" s="146"/>
      <c r="AD16" s="146"/>
      <c r="AE16" s="146"/>
      <c r="AF16" s="146"/>
      <c r="AG16" s="146"/>
      <c r="AH16" s="146"/>
      <c r="AI16" s="146"/>
      <c r="AJ16" s="146"/>
      <c r="AK16" s="146"/>
      <c r="AL16" s="161"/>
      <c r="AM16" s="162"/>
      <c r="AN16" s="179">
        <f t="shared" si="0"/>
        <v>1985609.88</v>
      </c>
      <c r="AO16" s="162"/>
      <c r="AP16" s="166"/>
      <c r="AQ16" s="167"/>
      <c r="AR16" s="167"/>
      <c r="AS16" s="167"/>
      <c r="AT16" s="167"/>
      <c r="AU16" s="167"/>
      <c r="AV16" s="167"/>
      <c r="AW16" s="162"/>
      <c r="AX16" s="166"/>
      <c r="AY16" s="176"/>
      <c r="BA16" s="141"/>
      <c r="BB16" s="141">
        <f t="shared" si="1"/>
        <v>1985609.88</v>
      </c>
      <c r="BC16" s="143"/>
      <c r="BD16" s="141"/>
      <c r="BE16" s="143"/>
      <c r="BF16" s="141"/>
      <c r="BG16" s="141"/>
    </row>
    <row r="17" spans="1:59" s="92" customFormat="1">
      <c r="A17" s="176"/>
      <c r="B17" s="154" t="s">
        <v>77</v>
      </c>
      <c r="C17" s="26" t="s">
        <v>191</v>
      </c>
      <c r="D17" s="177" t="s">
        <v>221</v>
      </c>
      <c r="E17" s="155" t="e">
        <f>#REF!</f>
        <v>#REF!</v>
      </c>
      <c r="F17" s="191" t="s">
        <v>1186</v>
      </c>
      <c r="G17" s="156" t="s">
        <v>220</v>
      </c>
      <c r="H17" s="156" t="s">
        <v>220</v>
      </c>
      <c r="I17" s="178" t="e">
        <f>#REF!</f>
        <v>#REF!</v>
      </c>
      <c r="J17" s="178" t="e">
        <f>#REF!</f>
        <v>#REF!</v>
      </c>
      <c r="K17" s="158">
        <v>4192454.16</v>
      </c>
      <c r="L17" s="157"/>
      <c r="M17" s="157"/>
      <c r="N17" s="156" t="s">
        <v>217</v>
      </c>
      <c r="O17" s="157"/>
      <c r="P17" s="157"/>
      <c r="Q17" s="156" t="s">
        <v>217</v>
      </c>
      <c r="R17" s="157"/>
      <c r="S17" s="157"/>
      <c r="T17" s="156" t="s">
        <v>217</v>
      </c>
      <c r="U17" s="157"/>
      <c r="V17" s="157"/>
      <c r="W17" s="156" t="s">
        <v>217</v>
      </c>
      <c r="X17" s="157"/>
      <c r="Y17" s="157"/>
      <c r="Z17" s="160"/>
      <c r="AA17" s="146"/>
      <c r="AB17" s="146"/>
      <c r="AC17" s="146"/>
      <c r="AD17" s="146"/>
      <c r="AE17" s="146"/>
      <c r="AF17" s="146"/>
      <c r="AG17" s="146"/>
      <c r="AH17" s="146"/>
      <c r="AI17" s="146"/>
      <c r="AJ17" s="146"/>
      <c r="AK17" s="146"/>
      <c r="AL17" s="161"/>
      <c r="AM17" s="162"/>
      <c r="AN17" s="179">
        <f t="shared" si="0"/>
        <v>4192454.16</v>
      </c>
      <c r="AO17" s="162"/>
      <c r="AP17" s="166"/>
      <c r="AQ17" s="167"/>
      <c r="AR17" s="167"/>
      <c r="AS17" s="167"/>
      <c r="AT17" s="167"/>
      <c r="AU17" s="167"/>
      <c r="AV17" s="167"/>
      <c r="AW17" s="162"/>
      <c r="AX17" s="166"/>
      <c r="AY17" s="176"/>
      <c r="BA17" s="141"/>
      <c r="BB17" s="141">
        <f t="shared" si="1"/>
        <v>4192454.16</v>
      </c>
      <c r="BC17" s="143"/>
      <c r="BD17" s="141"/>
      <c r="BE17" s="143"/>
      <c r="BF17" s="141"/>
      <c r="BG17" s="141"/>
    </row>
    <row r="18" spans="1:59" s="92" customFormat="1">
      <c r="A18" s="176"/>
      <c r="B18" s="154" t="s">
        <v>104</v>
      </c>
      <c r="C18" s="26" t="s">
        <v>191</v>
      </c>
      <c r="D18" s="177" t="s">
        <v>221</v>
      </c>
      <c r="E18" s="155" t="e">
        <f>#REF!</f>
        <v>#REF!</v>
      </c>
      <c r="F18" s="191" t="s">
        <v>1186</v>
      </c>
      <c r="G18" s="156" t="s">
        <v>220</v>
      </c>
      <c r="H18" s="156" t="s">
        <v>220</v>
      </c>
      <c r="I18" s="178" t="e">
        <f>#REF!</f>
        <v>#REF!</v>
      </c>
      <c r="J18" s="178" t="e">
        <f>#REF!</f>
        <v>#REF!</v>
      </c>
      <c r="K18" s="158">
        <v>1097892</v>
      </c>
      <c r="L18" s="157"/>
      <c r="M18" s="157"/>
      <c r="N18" s="156" t="s">
        <v>217</v>
      </c>
      <c r="O18" s="157"/>
      <c r="P18" s="157"/>
      <c r="Q18" s="156" t="s">
        <v>217</v>
      </c>
      <c r="R18" s="157"/>
      <c r="S18" s="157"/>
      <c r="T18" s="156" t="s">
        <v>217</v>
      </c>
      <c r="U18" s="157"/>
      <c r="V18" s="157"/>
      <c r="W18" s="156" t="s">
        <v>217</v>
      </c>
      <c r="X18" s="157"/>
      <c r="Y18" s="157"/>
      <c r="Z18" s="160"/>
      <c r="AA18" s="146"/>
      <c r="AB18" s="146"/>
      <c r="AC18" s="146"/>
      <c r="AD18" s="146"/>
      <c r="AE18" s="146"/>
      <c r="AF18" s="146"/>
      <c r="AG18" s="146"/>
      <c r="AH18" s="146"/>
      <c r="AI18" s="146"/>
      <c r="AJ18" s="146"/>
      <c r="AK18" s="146"/>
      <c r="AL18" s="161"/>
      <c r="AM18" s="162"/>
      <c r="AN18" s="179">
        <f t="shared" si="0"/>
        <v>1097892</v>
      </c>
      <c r="AO18" s="162"/>
      <c r="AP18" s="166"/>
      <c r="AQ18" s="167"/>
      <c r="AR18" s="167"/>
      <c r="AS18" s="167"/>
      <c r="AT18" s="167"/>
      <c r="AU18" s="167"/>
      <c r="AV18" s="167"/>
      <c r="AW18" s="162"/>
      <c r="AX18" s="166"/>
      <c r="AY18" s="176"/>
      <c r="BA18" s="141"/>
      <c r="BB18" s="141">
        <f t="shared" si="1"/>
        <v>1097892</v>
      </c>
      <c r="BC18" s="1"/>
      <c r="BD18" s="141"/>
      <c r="BE18" s="143"/>
      <c r="BF18" s="141"/>
      <c r="BG18" s="141"/>
    </row>
    <row r="19" spans="1:59" s="92" customFormat="1">
      <c r="A19" s="176"/>
      <c r="B19" s="154" t="s">
        <v>201</v>
      </c>
      <c r="C19" s="26" t="s">
        <v>191</v>
      </c>
      <c r="D19" s="177" t="s">
        <v>221</v>
      </c>
      <c r="E19" s="177" t="s">
        <v>221</v>
      </c>
      <c r="F19" s="191" t="s">
        <v>1186</v>
      </c>
      <c r="G19" s="156" t="s">
        <v>220</v>
      </c>
      <c r="H19" s="156" t="s">
        <v>220</v>
      </c>
      <c r="I19" s="178" t="e">
        <f>#REF!</f>
        <v>#REF!</v>
      </c>
      <c r="J19" s="178" t="e">
        <f>#REF!</f>
        <v>#REF!</v>
      </c>
      <c r="K19" s="158">
        <v>1368356.7947396899</v>
      </c>
      <c r="L19" s="157"/>
      <c r="M19" s="157"/>
      <c r="N19" s="156" t="s">
        <v>217</v>
      </c>
      <c r="O19" s="157"/>
      <c r="P19" s="157"/>
      <c r="Q19" s="156" t="s">
        <v>217</v>
      </c>
      <c r="R19" s="157"/>
      <c r="S19" s="157"/>
      <c r="T19" s="156" t="s">
        <v>217</v>
      </c>
      <c r="U19" s="157"/>
      <c r="V19" s="157"/>
      <c r="W19" s="156" t="s">
        <v>217</v>
      </c>
      <c r="X19" s="157"/>
      <c r="Y19" s="157"/>
      <c r="Z19" s="160"/>
      <c r="AA19" s="146"/>
      <c r="AB19" s="146"/>
      <c r="AC19" s="146"/>
      <c r="AD19" s="146"/>
      <c r="AE19" s="146"/>
      <c r="AF19" s="146"/>
      <c r="AG19" s="146"/>
      <c r="AH19" s="146"/>
      <c r="AI19" s="146"/>
      <c r="AJ19" s="146"/>
      <c r="AK19" s="146"/>
      <c r="AL19" s="161"/>
      <c r="AM19" s="162"/>
      <c r="AN19" s="179">
        <f t="shared" si="0"/>
        <v>1368356.7947396899</v>
      </c>
      <c r="AO19" s="162"/>
      <c r="AP19" s="166"/>
      <c r="AQ19" s="167"/>
      <c r="AR19" s="167"/>
      <c r="AS19" s="167"/>
      <c r="AT19" s="167"/>
      <c r="AU19" s="167"/>
      <c r="AV19" s="167"/>
      <c r="AW19" s="162"/>
      <c r="AX19" s="166"/>
      <c r="AY19" s="176"/>
      <c r="BA19" s="141"/>
      <c r="BB19" s="141">
        <f t="shared" si="1"/>
        <v>1368356.7947396899</v>
      </c>
      <c r="BC19" s="143"/>
      <c r="BD19" s="141"/>
      <c r="BE19" s="143"/>
      <c r="BF19" s="141"/>
      <c r="BG19" s="141"/>
    </row>
    <row r="20" spans="1:59" s="92" customFormat="1">
      <c r="A20" s="176"/>
      <c r="B20" s="154" t="s">
        <v>103</v>
      </c>
      <c r="C20" s="26" t="s">
        <v>191</v>
      </c>
      <c r="D20" s="177" t="s">
        <v>221</v>
      </c>
      <c r="E20" s="155" t="e">
        <f>#REF!</f>
        <v>#REF!</v>
      </c>
      <c r="F20" s="191" t="s">
        <v>1187</v>
      </c>
      <c r="G20" s="156" t="s">
        <v>220</v>
      </c>
      <c r="H20" s="156" t="s">
        <v>220</v>
      </c>
      <c r="I20" s="178" t="e">
        <f>#REF!</f>
        <v>#REF!</v>
      </c>
      <c r="J20" s="178" t="e">
        <f>#REF!</f>
        <v>#REF!</v>
      </c>
      <c r="K20" s="77">
        <v>0</v>
      </c>
      <c r="L20" s="157"/>
      <c r="M20" s="157"/>
      <c r="N20" s="156"/>
      <c r="O20" s="157"/>
      <c r="P20" s="157"/>
      <c r="Q20" s="156"/>
      <c r="R20" s="157"/>
      <c r="S20" s="157"/>
      <c r="T20" s="156"/>
      <c r="U20" s="157"/>
      <c r="V20" s="157"/>
      <c r="W20" s="156"/>
      <c r="X20" s="157"/>
      <c r="Y20" s="157"/>
      <c r="Z20" s="160"/>
      <c r="AA20" s="146"/>
      <c r="AB20" s="146"/>
      <c r="AC20" s="146"/>
      <c r="AD20" s="146"/>
      <c r="AE20" s="146"/>
      <c r="AF20" s="146"/>
      <c r="AG20" s="146"/>
      <c r="AH20" s="146"/>
      <c r="AI20" s="146"/>
      <c r="AJ20" s="146"/>
      <c r="AK20" s="146"/>
      <c r="AL20" s="161"/>
      <c r="AM20" s="162"/>
      <c r="AN20" s="179">
        <f t="shared" si="0"/>
        <v>0</v>
      </c>
      <c r="AO20" s="162"/>
      <c r="AP20" s="166"/>
      <c r="AQ20" s="167"/>
      <c r="AR20" s="167"/>
      <c r="AS20" s="167"/>
      <c r="AT20" s="167"/>
      <c r="AU20" s="167"/>
      <c r="AV20" s="167"/>
      <c r="AW20" s="162"/>
      <c r="AX20" s="166"/>
      <c r="AY20" s="176"/>
      <c r="BA20" s="141"/>
      <c r="BB20" s="141">
        <f t="shared" si="1"/>
        <v>0</v>
      </c>
      <c r="BC20" s="143"/>
      <c r="BD20" s="141"/>
      <c r="BE20" s="143"/>
      <c r="BF20" s="141"/>
      <c r="BG20" s="141"/>
    </row>
    <row r="21" spans="1:59" s="92" customFormat="1">
      <c r="A21" s="176"/>
      <c r="B21" s="154" t="s">
        <v>121</v>
      </c>
      <c r="C21" s="26" t="s">
        <v>191</v>
      </c>
      <c r="D21" s="177" t="s">
        <v>221</v>
      </c>
      <c r="E21" s="155" t="e">
        <f>#REF!</f>
        <v>#REF!</v>
      </c>
      <c r="F21" s="191" t="s">
        <v>1186</v>
      </c>
      <c r="G21" s="156" t="s">
        <v>220</v>
      </c>
      <c r="H21" s="156" t="s">
        <v>220</v>
      </c>
      <c r="I21" s="178" t="e">
        <f>#REF!</f>
        <v>#REF!</v>
      </c>
      <c r="J21" s="178" t="e">
        <f>#REF!</f>
        <v>#REF!</v>
      </c>
      <c r="K21" s="158">
        <v>320000.04000000004</v>
      </c>
      <c r="L21" s="157"/>
      <c r="M21" s="157"/>
      <c r="N21" s="156" t="s">
        <v>217</v>
      </c>
      <c r="O21" s="157"/>
      <c r="P21" s="157"/>
      <c r="Q21" s="156" t="s">
        <v>217</v>
      </c>
      <c r="R21" s="157"/>
      <c r="S21" s="157"/>
      <c r="T21" s="156" t="s">
        <v>217</v>
      </c>
      <c r="U21" s="157"/>
      <c r="V21" s="157"/>
      <c r="W21" s="156" t="s">
        <v>217</v>
      </c>
      <c r="X21" s="157"/>
      <c r="Y21" s="157"/>
      <c r="Z21" s="160"/>
      <c r="AA21" s="146"/>
      <c r="AB21" s="146"/>
      <c r="AC21" s="146"/>
      <c r="AD21" s="146"/>
      <c r="AE21" s="146"/>
      <c r="AF21" s="146"/>
      <c r="AG21" s="146"/>
      <c r="AH21" s="146"/>
      <c r="AI21" s="146"/>
      <c r="AJ21" s="146"/>
      <c r="AK21" s="146"/>
      <c r="AL21" s="161"/>
      <c r="AM21" s="162"/>
      <c r="AN21" s="179">
        <f t="shared" si="0"/>
        <v>320000.04000000004</v>
      </c>
      <c r="AO21" s="162"/>
      <c r="AP21" s="166"/>
      <c r="AQ21" s="167"/>
      <c r="AR21" s="167"/>
      <c r="AS21" s="167"/>
      <c r="AT21" s="167"/>
      <c r="AU21" s="167"/>
      <c r="AV21" s="167"/>
      <c r="AW21" s="162"/>
      <c r="AX21" s="166"/>
      <c r="AY21" s="176"/>
      <c r="BA21" s="141"/>
      <c r="BB21" s="141">
        <f t="shared" si="1"/>
        <v>320000.04000000004</v>
      </c>
      <c r="BC21" s="143"/>
      <c r="BD21" s="141"/>
      <c r="BE21" s="143"/>
      <c r="BF21" s="141"/>
      <c r="BG21" s="141"/>
    </row>
    <row r="22" spans="1:59" s="92" customFormat="1">
      <c r="A22" s="176"/>
      <c r="B22" s="154" t="s">
        <v>112</v>
      </c>
      <c r="C22" s="26" t="s">
        <v>191</v>
      </c>
      <c r="D22" s="177" t="s">
        <v>221</v>
      </c>
      <c r="E22" s="155" t="e">
        <f>#REF!</f>
        <v>#REF!</v>
      </c>
      <c r="F22" s="191" t="s">
        <v>1186</v>
      </c>
      <c r="G22" s="156" t="s">
        <v>220</v>
      </c>
      <c r="H22" s="156" t="s">
        <v>220</v>
      </c>
      <c r="I22" s="178" t="e">
        <f>#REF!</f>
        <v>#REF!</v>
      </c>
      <c r="J22" s="178" t="e">
        <f>#REF!</f>
        <v>#REF!</v>
      </c>
      <c r="K22" s="158">
        <v>1876414.3199999998</v>
      </c>
      <c r="L22" s="157"/>
      <c r="M22" s="157"/>
      <c r="N22" s="156" t="s">
        <v>217</v>
      </c>
      <c r="O22" s="157"/>
      <c r="P22" s="157"/>
      <c r="Q22" s="156" t="s">
        <v>217</v>
      </c>
      <c r="R22" s="157"/>
      <c r="S22" s="157"/>
      <c r="T22" s="156" t="s">
        <v>217</v>
      </c>
      <c r="U22" s="157"/>
      <c r="V22" s="157"/>
      <c r="W22" s="156" t="s">
        <v>217</v>
      </c>
      <c r="X22" s="157"/>
      <c r="Y22" s="157"/>
      <c r="Z22" s="160"/>
      <c r="AA22" s="146"/>
      <c r="AB22" s="146"/>
      <c r="AC22" s="146"/>
      <c r="AD22" s="146"/>
      <c r="AE22" s="146"/>
      <c r="AF22" s="146"/>
      <c r="AG22" s="146"/>
      <c r="AH22" s="146"/>
      <c r="AI22" s="146"/>
      <c r="AJ22" s="146"/>
      <c r="AK22" s="146"/>
      <c r="AL22" s="161"/>
      <c r="AM22" s="162"/>
      <c r="AN22" s="179">
        <f t="shared" si="0"/>
        <v>1876414.3199999998</v>
      </c>
      <c r="AO22" s="162"/>
      <c r="AP22" s="166"/>
      <c r="AQ22" s="167"/>
      <c r="AR22" s="167"/>
      <c r="AS22" s="167"/>
      <c r="AT22" s="167"/>
      <c r="AU22" s="167"/>
      <c r="AV22" s="167"/>
      <c r="AW22" s="162"/>
      <c r="AX22" s="166"/>
      <c r="AY22" s="176"/>
      <c r="BA22" s="141"/>
      <c r="BB22" s="141">
        <f t="shared" si="1"/>
        <v>1876414.3199999998</v>
      </c>
      <c r="BC22" s="1"/>
      <c r="BD22" s="141"/>
      <c r="BE22" s="143"/>
      <c r="BF22" s="141"/>
      <c r="BG22" s="141"/>
    </row>
    <row r="23" spans="1:59" s="92" customFormat="1">
      <c r="A23" s="176"/>
      <c r="B23" s="154" t="s">
        <v>118</v>
      </c>
      <c r="C23" s="26" t="s">
        <v>191</v>
      </c>
      <c r="D23" s="177" t="s">
        <v>221</v>
      </c>
      <c r="E23" s="155" t="e">
        <f>#REF!</f>
        <v>#REF!</v>
      </c>
      <c r="F23" s="191" t="s">
        <v>1186</v>
      </c>
      <c r="G23" s="156" t="s">
        <v>220</v>
      </c>
      <c r="H23" s="156" t="s">
        <v>220</v>
      </c>
      <c r="I23" s="178" t="e">
        <f>#REF!</f>
        <v>#REF!</v>
      </c>
      <c r="J23" s="178" t="e">
        <f>#REF!</f>
        <v>#REF!</v>
      </c>
      <c r="K23" s="158">
        <v>1400000.0399999998</v>
      </c>
      <c r="L23" s="157"/>
      <c r="M23" s="157"/>
      <c r="N23" s="156" t="s">
        <v>217</v>
      </c>
      <c r="O23" s="157"/>
      <c r="P23" s="157"/>
      <c r="Q23" s="156" t="s">
        <v>217</v>
      </c>
      <c r="R23" s="157"/>
      <c r="S23" s="157"/>
      <c r="T23" s="156" t="s">
        <v>217</v>
      </c>
      <c r="U23" s="157"/>
      <c r="V23" s="157"/>
      <c r="W23" s="156" t="s">
        <v>217</v>
      </c>
      <c r="X23" s="157"/>
      <c r="Y23" s="157"/>
      <c r="Z23" s="160"/>
      <c r="AA23" s="146"/>
      <c r="AB23" s="146"/>
      <c r="AC23" s="146"/>
      <c r="AD23" s="146"/>
      <c r="AE23" s="146"/>
      <c r="AF23" s="146"/>
      <c r="AG23" s="146"/>
      <c r="AH23" s="146"/>
      <c r="AI23" s="146"/>
      <c r="AJ23" s="146"/>
      <c r="AK23" s="146"/>
      <c r="AL23" s="161"/>
      <c r="AM23" s="162"/>
      <c r="AN23" s="179">
        <f t="shared" si="0"/>
        <v>1400000.0399999998</v>
      </c>
      <c r="AO23" s="162"/>
      <c r="AP23" s="166"/>
      <c r="AQ23" s="167"/>
      <c r="AR23" s="167"/>
      <c r="AS23" s="167"/>
      <c r="AT23" s="167"/>
      <c r="AU23" s="167"/>
      <c r="AV23" s="167"/>
      <c r="AW23" s="162"/>
      <c r="AX23" s="166"/>
      <c r="AY23" s="176"/>
      <c r="BA23" s="141"/>
      <c r="BB23" s="141">
        <f t="shared" si="1"/>
        <v>1400000.0399999998</v>
      </c>
      <c r="BC23" s="1"/>
      <c r="BD23" s="141"/>
      <c r="BE23" s="143"/>
      <c r="BF23" s="141"/>
      <c r="BG23" s="141"/>
    </row>
    <row r="24" spans="1:59" s="92" customFormat="1">
      <c r="A24" s="176"/>
      <c r="B24" s="154" t="s">
        <v>113</v>
      </c>
      <c r="C24" s="26" t="s">
        <v>191</v>
      </c>
      <c r="D24" s="177" t="s">
        <v>221</v>
      </c>
      <c r="E24" s="155" t="e">
        <f>#REF!</f>
        <v>#REF!</v>
      </c>
      <c r="F24" s="191" t="s">
        <v>1186</v>
      </c>
      <c r="G24" s="156" t="s">
        <v>220</v>
      </c>
      <c r="H24" s="156" t="s">
        <v>220</v>
      </c>
      <c r="I24" s="178" t="e">
        <f>#REF!</f>
        <v>#REF!</v>
      </c>
      <c r="J24" s="178" t="e">
        <f>#REF!</f>
        <v>#REF!</v>
      </c>
      <c r="K24" s="158">
        <v>2115604.56</v>
      </c>
      <c r="L24" s="157"/>
      <c r="M24" s="157"/>
      <c r="N24" s="156" t="s">
        <v>217</v>
      </c>
      <c r="O24" s="157"/>
      <c r="P24" s="157"/>
      <c r="Q24" s="156" t="s">
        <v>217</v>
      </c>
      <c r="R24" s="157"/>
      <c r="S24" s="157"/>
      <c r="T24" s="156" t="s">
        <v>217</v>
      </c>
      <c r="U24" s="157"/>
      <c r="V24" s="157"/>
      <c r="W24" s="156" t="s">
        <v>217</v>
      </c>
      <c r="X24" s="157"/>
      <c r="Y24" s="157"/>
      <c r="Z24" s="160"/>
      <c r="AA24" s="146"/>
      <c r="AB24" s="146"/>
      <c r="AC24" s="146"/>
      <c r="AD24" s="146"/>
      <c r="AE24" s="146"/>
      <c r="AF24" s="146"/>
      <c r="AG24" s="146"/>
      <c r="AH24" s="146"/>
      <c r="AI24" s="146"/>
      <c r="AJ24" s="146"/>
      <c r="AK24" s="146"/>
      <c r="AL24" s="161"/>
      <c r="AM24" s="162"/>
      <c r="AN24" s="179">
        <f t="shared" si="0"/>
        <v>2115604.56</v>
      </c>
      <c r="AO24" s="162"/>
      <c r="AP24" s="166"/>
      <c r="AQ24" s="167"/>
      <c r="AR24" s="167"/>
      <c r="AS24" s="167"/>
      <c r="AT24" s="167"/>
      <c r="AU24" s="167"/>
      <c r="AV24" s="167"/>
      <c r="AW24" s="162"/>
      <c r="AX24" s="166"/>
      <c r="AY24" s="176"/>
      <c r="BA24" s="141"/>
      <c r="BB24" s="141">
        <f t="shared" si="1"/>
        <v>2115604.56</v>
      </c>
      <c r="BC24" s="143"/>
      <c r="BD24" s="141"/>
      <c r="BE24" s="143"/>
      <c r="BF24" s="141"/>
      <c r="BG24" s="141"/>
    </row>
    <row r="25" spans="1:59" s="92" customFormat="1">
      <c r="A25" s="176"/>
      <c r="B25" s="154" t="s">
        <v>84</v>
      </c>
      <c r="C25" s="26" t="s">
        <v>191</v>
      </c>
      <c r="D25" s="177" t="s">
        <v>221</v>
      </c>
      <c r="E25" s="155" t="e">
        <f>#REF!</f>
        <v>#REF!</v>
      </c>
      <c r="F25" s="191" t="s">
        <v>1187</v>
      </c>
      <c r="G25" s="156" t="s">
        <v>220</v>
      </c>
      <c r="H25" s="156" t="s">
        <v>220</v>
      </c>
      <c r="I25" s="178" t="e">
        <f>#REF!</f>
        <v>#REF!</v>
      </c>
      <c r="J25" s="178" t="e">
        <f>#REF!</f>
        <v>#REF!</v>
      </c>
      <c r="K25" s="77">
        <v>0</v>
      </c>
      <c r="L25" s="157"/>
      <c r="M25" s="157"/>
      <c r="N25" s="156"/>
      <c r="O25" s="157"/>
      <c r="P25" s="157"/>
      <c r="Q25" s="156"/>
      <c r="R25" s="157"/>
      <c r="S25" s="157"/>
      <c r="T25" s="156"/>
      <c r="U25" s="157"/>
      <c r="V25" s="157"/>
      <c r="W25" s="156"/>
      <c r="X25" s="157"/>
      <c r="Y25" s="157"/>
      <c r="Z25" s="160"/>
      <c r="AA25" s="146"/>
      <c r="AB25" s="146"/>
      <c r="AC25" s="146"/>
      <c r="AD25" s="146"/>
      <c r="AE25" s="146"/>
      <c r="AF25" s="146"/>
      <c r="AG25" s="146"/>
      <c r="AH25" s="146"/>
      <c r="AI25" s="146"/>
      <c r="AJ25" s="146"/>
      <c r="AK25" s="146"/>
      <c r="AL25" s="161"/>
      <c r="AM25" s="162"/>
      <c r="AN25" s="179">
        <f t="shared" si="0"/>
        <v>0</v>
      </c>
      <c r="AO25" s="162"/>
      <c r="AP25" s="166"/>
      <c r="AQ25" s="167"/>
      <c r="AR25" s="167"/>
      <c r="AS25" s="167"/>
      <c r="AT25" s="167"/>
      <c r="AU25" s="167"/>
      <c r="AV25" s="167"/>
      <c r="AW25" s="162"/>
      <c r="AX25" s="166"/>
      <c r="AY25" s="176"/>
      <c r="BA25" s="141"/>
      <c r="BB25" s="141">
        <f t="shared" si="1"/>
        <v>0</v>
      </c>
      <c r="BC25" s="1"/>
      <c r="BD25" s="141"/>
      <c r="BE25" s="143"/>
      <c r="BF25" s="141"/>
      <c r="BG25" s="141"/>
    </row>
    <row r="26" spans="1:59" s="92" customFormat="1">
      <c r="A26" s="176"/>
      <c r="B26" s="154" t="s">
        <v>82</v>
      </c>
      <c r="C26" s="26" t="s">
        <v>191</v>
      </c>
      <c r="D26" s="177" t="s">
        <v>221</v>
      </c>
      <c r="E26" s="155" t="e">
        <f>#REF!</f>
        <v>#REF!</v>
      </c>
      <c r="F26" s="191" t="s">
        <v>1186</v>
      </c>
      <c r="G26" s="156" t="s">
        <v>220</v>
      </c>
      <c r="H26" s="156" t="s">
        <v>220</v>
      </c>
      <c r="I26" s="178" t="e">
        <f>#REF!</f>
        <v>#REF!</v>
      </c>
      <c r="J26" s="178" t="e">
        <f>#REF!</f>
        <v>#REF!</v>
      </c>
      <c r="K26" s="158">
        <v>2949702.72</v>
      </c>
      <c r="L26" s="157"/>
      <c r="M26" s="157"/>
      <c r="N26" s="156" t="s">
        <v>217</v>
      </c>
      <c r="O26" s="157"/>
      <c r="P26" s="157"/>
      <c r="Q26" s="156" t="s">
        <v>217</v>
      </c>
      <c r="R26" s="157"/>
      <c r="S26" s="157"/>
      <c r="T26" s="156" t="s">
        <v>217</v>
      </c>
      <c r="U26" s="157"/>
      <c r="V26" s="157"/>
      <c r="W26" s="156" t="s">
        <v>217</v>
      </c>
      <c r="X26" s="157"/>
      <c r="Y26" s="157"/>
      <c r="Z26" s="160"/>
      <c r="AA26" s="146"/>
      <c r="AB26" s="146"/>
      <c r="AC26" s="146"/>
      <c r="AD26" s="146"/>
      <c r="AE26" s="146"/>
      <c r="AF26" s="146"/>
      <c r="AG26" s="146"/>
      <c r="AH26" s="146"/>
      <c r="AI26" s="146"/>
      <c r="AJ26" s="146"/>
      <c r="AK26" s="146"/>
      <c r="AL26" s="161"/>
      <c r="AM26" s="162"/>
      <c r="AN26" s="179">
        <f t="shared" si="0"/>
        <v>2949702.72</v>
      </c>
      <c r="AO26" s="162"/>
      <c r="AP26" s="166"/>
      <c r="AQ26" s="167"/>
      <c r="AR26" s="167"/>
      <c r="AS26" s="167"/>
      <c r="AT26" s="167"/>
      <c r="AU26" s="167"/>
      <c r="AV26" s="167"/>
      <c r="AW26" s="162"/>
      <c r="AX26" s="166"/>
      <c r="AY26" s="176"/>
      <c r="BA26" s="141"/>
      <c r="BB26" s="141">
        <f t="shared" si="1"/>
        <v>2949702.72</v>
      </c>
      <c r="BC26" s="143"/>
      <c r="BD26" s="141"/>
      <c r="BE26" s="143"/>
      <c r="BF26" s="141"/>
      <c r="BG26" s="141"/>
    </row>
    <row r="27" spans="1:59" s="92" customFormat="1">
      <c r="A27" s="176"/>
      <c r="B27" s="154" t="s">
        <v>83</v>
      </c>
      <c r="C27" s="26" t="s">
        <v>191</v>
      </c>
      <c r="D27" s="177" t="s">
        <v>221</v>
      </c>
      <c r="E27" s="155" t="e">
        <f>#REF!</f>
        <v>#REF!</v>
      </c>
      <c r="F27" s="191" t="s">
        <v>1186</v>
      </c>
      <c r="G27" s="156" t="s">
        <v>220</v>
      </c>
      <c r="H27" s="156" t="s">
        <v>220</v>
      </c>
      <c r="I27" s="178" t="e">
        <f>#REF!</f>
        <v>#REF!</v>
      </c>
      <c r="J27" s="178" t="e">
        <f>#REF!</f>
        <v>#REF!</v>
      </c>
      <c r="K27" s="158">
        <v>4343914.0782109099</v>
      </c>
      <c r="L27" s="157"/>
      <c r="M27" s="157"/>
      <c r="N27" s="156" t="s">
        <v>217</v>
      </c>
      <c r="O27" s="157"/>
      <c r="P27" s="157"/>
      <c r="Q27" s="156" t="s">
        <v>217</v>
      </c>
      <c r="R27" s="157"/>
      <c r="S27" s="157"/>
      <c r="T27" s="156" t="s">
        <v>217</v>
      </c>
      <c r="U27" s="157"/>
      <c r="V27" s="157"/>
      <c r="W27" s="156" t="s">
        <v>217</v>
      </c>
      <c r="X27" s="157"/>
      <c r="Y27" s="157"/>
      <c r="Z27" s="160"/>
      <c r="AA27" s="146"/>
      <c r="AB27" s="146"/>
      <c r="AC27" s="146"/>
      <c r="AD27" s="146"/>
      <c r="AE27" s="146"/>
      <c r="AF27" s="146"/>
      <c r="AG27" s="146"/>
      <c r="AH27" s="146"/>
      <c r="AI27" s="146"/>
      <c r="AJ27" s="146"/>
      <c r="AK27" s="146"/>
      <c r="AL27" s="161"/>
      <c r="AM27" s="162"/>
      <c r="AN27" s="179">
        <f t="shared" si="0"/>
        <v>4343914.0782109099</v>
      </c>
      <c r="AO27" s="162"/>
      <c r="AP27" s="166"/>
      <c r="AQ27" s="167"/>
      <c r="AR27" s="167"/>
      <c r="AS27" s="167"/>
      <c r="AT27" s="167"/>
      <c r="AU27" s="167"/>
      <c r="AV27" s="167"/>
      <c r="AW27" s="162"/>
      <c r="AX27" s="166"/>
      <c r="AY27" s="176"/>
      <c r="BA27" s="141"/>
      <c r="BB27" s="141">
        <f t="shared" si="1"/>
        <v>4343914.0782109099</v>
      </c>
      <c r="BC27" s="143"/>
      <c r="BD27" s="141"/>
      <c r="BE27" s="143"/>
      <c r="BF27" s="141"/>
      <c r="BG27" s="141"/>
    </row>
    <row r="28" spans="1:59" s="92" customFormat="1">
      <c r="A28" s="176"/>
      <c r="B28" s="154" t="s">
        <v>122</v>
      </c>
      <c r="C28" s="26" t="s">
        <v>191</v>
      </c>
      <c r="D28" s="177" t="s">
        <v>221</v>
      </c>
      <c r="E28" s="155" t="e">
        <f>#REF!</f>
        <v>#REF!</v>
      </c>
      <c r="F28" s="191" t="s">
        <v>1186</v>
      </c>
      <c r="G28" s="156" t="s">
        <v>220</v>
      </c>
      <c r="H28" s="156" t="s">
        <v>220</v>
      </c>
      <c r="I28" s="178" t="e">
        <f>#REF!</f>
        <v>#REF!</v>
      </c>
      <c r="J28" s="178" t="e">
        <f>#REF!</f>
        <v>#REF!</v>
      </c>
      <c r="K28" s="158">
        <v>875789.15999999992</v>
      </c>
      <c r="L28" s="157"/>
      <c r="M28" s="157"/>
      <c r="N28" s="156" t="s">
        <v>217</v>
      </c>
      <c r="O28" s="157"/>
      <c r="P28" s="157"/>
      <c r="Q28" s="156" t="s">
        <v>217</v>
      </c>
      <c r="R28" s="157"/>
      <c r="S28" s="157"/>
      <c r="T28" s="156" t="s">
        <v>217</v>
      </c>
      <c r="U28" s="157"/>
      <c r="V28" s="157"/>
      <c r="W28" s="156" t="s">
        <v>217</v>
      </c>
      <c r="X28" s="157"/>
      <c r="Y28" s="157"/>
      <c r="Z28" s="160"/>
      <c r="AA28" s="146"/>
      <c r="AB28" s="146"/>
      <c r="AC28" s="146"/>
      <c r="AD28" s="146"/>
      <c r="AE28" s="146"/>
      <c r="AF28" s="146"/>
      <c r="AG28" s="146"/>
      <c r="AH28" s="146"/>
      <c r="AI28" s="146"/>
      <c r="AJ28" s="146"/>
      <c r="AK28" s="146"/>
      <c r="AL28" s="161"/>
      <c r="AM28" s="162"/>
      <c r="AN28" s="179">
        <f t="shared" si="0"/>
        <v>875789.15999999992</v>
      </c>
      <c r="AO28" s="162"/>
      <c r="AP28" s="166"/>
      <c r="AQ28" s="167"/>
      <c r="AR28" s="167"/>
      <c r="AS28" s="167"/>
      <c r="AT28" s="167"/>
      <c r="AU28" s="167"/>
      <c r="AV28" s="167"/>
      <c r="AW28" s="162"/>
      <c r="AX28" s="166"/>
      <c r="AY28" s="176"/>
      <c r="BA28" s="141"/>
      <c r="BB28" s="141">
        <f t="shared" si="1"/>
        <v>875789.15999999992</v>
      </c>
      <c r="BC28" s="1"/>
      <c r="BD28" s="141"/>
      <c r="BE28" s="143"/>
      <c r="BF28" s="141"/>
      <c r="BG28" s="141"/>
    </row>
    <row r="29" spans="1:59" s="92" customFormat="1">
      <c r="A29" s="176"/>
      <c r="B29" s="154" t="s">
        <v>119</v>
      </c>
      <c r="C29" s="26" t="s">
        <v>191</v>
      </c>
      <c r="D29" s="177" t="s">
        <v>221</v>
      </c>
      <c r="E29" s="155" t="e">
        <f>#REF!</f>
        <v>#REF!</v>
      </c>
      <c r="F29" s="191" t="s">
        <v>1186</v>
      </c>
      <c r="G29" s="156" t="s">
        <v>220</v>
      </c>
      <c r="H29" s="156" t="s">
        <v>220</v>
      </c>
      <c r="I29" s="178" t="e">
        <f>#REF!</f>
        <v>#REF!</v>
      </c>
      <c r="J29" s="178" t="e">
        <f>#REF!</f>
        <v>#REF!</v>
      </c>
      <c r="K29" s="158">
        <v>818362.92</v>
      </c>
      <c r="L29" s="157"/>
      <c r="M29" s="157"/>
      <c r="N29" s="156" t="s">
        <v>217</v>
      </c>
      <c r="O29" s="157"/>
      <c r="P29" s="157"/>
      <c r="Q29" s="156" t="s">
        <v>217</v>
      </c>
      <c r="R29" s="157"/>
      <c r="S29" s="157"/>
      <c r="T29" s="156" t="s">
        <v>217</v>
      </c>
      <c r="U29" s="157"/>
      <c r="V29" s="157"/>
      <c r="W29" s="156" t="s">
        <v>217</v>
      </c>
      <c r="X29" s="157"/>
      <c r="Y29" s="157"/>
      <c r="Z29" s="160"/>
      <c r="AA29" s="146"/>
      <c r="AB29" s="146"/>
      <c r="AC29" s="146"/>
      <c r="AD29" s="146"/>
      <c r="AE29" s="146"/>
      <c r="AF29" s="146"/>
      <c r="AG29" s="146"/>
      <c r="AH29" s="146"/>
      <c r="AI29" s="146"/>
      <c r="AJ29" s="146"/>
      <c r="AK29" s="146"/>
      <c r="AL29" s="161"/>
      <c r="AM29" s="162"/>
      <c r="AN29" s="179">
        <f t="shared" si="0"/>
        <v>818362.92</v>
      </c>
      <c r="AO29" s="162"/>
      <c r="AP29" s="166"/>
      <c r="AQ29" s="167"/>
      <c r="AR29" s="167"/>
      <c r="AS29" s="167"/>
      <c r="AT29" s="167"/>
      <c r="AU29" s="167"/>
      <c r="AV29" s="167"/>
      <c r="AW29" s="162"/>
      <c r="AX29" s="166"/>
      <c r="AY29" s="176"/>
      <c r="BA29" s="141"/>
      <c r="BB29" s="141">
        <f t="shared" si="1"/>
        <v>818362.92</v>
      </c>
      <c r="BC29" s="1"/>
      <c r="BD29" s="141"/>
      <c r="BE29" s="143"/>
      <c r="BF29" s="141"/>
      <c r="BG29" s="141"/>
    </row>
    <row r="30" spans="1:59" s="92" customFormat="1">
      <c r="A30" s="176"/>
      <c r="B30" s="154" t="s">
        <v>106</v>
      </c>
      <c r="C30" s="26" t="s">
        <v>191</v>
      </c>
      <c r="D30" s="177" t="s">
        <v>221</v>
      </c>
      <c r="E30" s="155" t="e">
        <f>#REF!</f>
        <v>#REF!</v>
      </c>
      <c r="F30" s="180" t="s">
        <v>1188</v>
      </c>
      <c r="G30" s="8" t="s">
        <v>284</v>
      </c>
      <c r="H30" s="8" t="s">
        <v>1215</v>
      </c>
      <c r="I30" s="178" t="e">
        <f>#REF!</f>
        <v>#REF!</v>
      </c>
      <c r="J30" s="178" t="e">
        <f>#REF!</f>
        <v>#REF!</v>
      </c>
      <c r="L30" s="158">
        <v>1562879.782766388</v>
      </c>
      <c r="M30" s="157" t="s">
        <v>1196</v>
      </c>
      <c r="O30" s="156" t="s">
        <v>217</v>
      </c>
      <c r="P30" s="157" t="s">
        <v>1196</v>
      </c>
      <c r="R30" s="156" t="s">
        <v>217</v>
      </c>
      <c r="S30" s="157" t="s">
        <v>1196</v>
      </c>
      <c r="U30" s="156" t="s">
        <v>217</v>
      </c>
      <c r="V30" s="157" t="s">
        <v>1196</v>
      </c>
      <c r="X30" s="156" t="s">
        <v>217</v>
      </c>
      <c r="Y30" s="157" t="s">
        <v>1196</v>
      </c>
      <c r="Z30" s="147">
        <v>0.3</v>
      </c>
      <c r="AA30" s="144">
        <v>6136863</v>
      </c>
      <c r="AB30" s="145"/>
      <c r="AC30" s="145"/>
      <c r="AD30" s="145"/>
      <c r="AE30" s="144"/>
      <c r="AF30" s="146"/>
      <c r="AG30" s="146"/>
      <c r="AH30" s="146"/>
      <c r="AI30" s="146"/>
      <c r="AJ30" s="146"/>
      <c r="AK30" s="148">
        <f>+Z30*AA30</f>
        <v>1841058.9</v>
      </c>
      <c r="AL30" s="184"/>
      <c r="AM30" s="192">
        <f>AK30</f>
        <v>1841058.9</v>
      </c>
      <c r="AN30" s="193"/>
      <c r="AO30" s="163">
        <v>275095</v>
      </c>
      <c r="AP30" s="164">
        <v>1565964</v>
      </c>
      <c r="AQ30" s="148">
        <v>114398</v>
      </c>
      <c r="AR30" s="148">
        <v>911680</v>
      </c>
      <c r="AS30" s="148">
        <v>145642</v>
      </c>
      <c r="AT30" s="148">
        <v>913479</v>
      </c>
      <c r="AU30" s="148">
        <v>275095</v>
      </c>
      <c r="AV30" s="148">
        <v>1565964</v>
      </c>
      <c r="AW30" s="163">
        <f>AU30-AS30+AQ30</f>
        <v>243851</v>
      </c>
      <c r="AX30" s="164">
        <f>AV30-AT30+AR30</f>
        <v>1564165</v>
      </c>
      <c r="AY30" s="176"/>
      <c r="BA30" s="141"/>
      <c r="BB30" s="141">
        <f t="shared" si="1"/>
        <v>1841058.9</v>
      </c>
      <c r="BC30" s="143"/>
      <c r="BD30" s="141">
        <f>+(AP30+AO30)-BB30</f>
        <v>0.10000000009313226</v>
      </c>
      <c r="BE30" s="143"/>
      <c r="BF30" s="141"/>
      <c r="BG30" s="141"/>
    </row>
    <row r="31" spans="1:59" s="92" customFormat="1">
      <c r="A31" s="176"/>
      <c r="B31" s="154" t="s">
        <v>86</v>
      </c>
      <c r="C31" s="26" t="s">
        <v>191</v>
      </c>
      <c r="D31" s="177" t="s">
        <v>221</v>
      </c>
      <c r="E31" s="155" t="e">
        <f>#REF!</f>
        <v>#REF!</v>
      </c>
      <c r="F31" s="191" t="s">
        <v>1186</v>
      </c>
      <c r="G31" s="156" t="s">
        <v>220</v>
      </c>
      <c r="H31" s="156" t="s">
        <v>220</v>
      </c>
      <c r="I31" s="178" t="e">
        <f>#REF!</f>
        <v>#REF!</v>
      </c>
      <c r="J31" s="178" t="e">
        <f>#REF!</f>
        <v>#REF!</v>
      </c>
      <c r="K31" s="158">
        <v>2582849.5199999996</v>
      </c>
      <c r="L31" s="157"/>
      <c r="M31" s="157"/>
      <c r="N31" s="156" t="s">
        <v>217</v>
      </c>
      <c r="O31" s="157"/>
      <c r="P31" s="157"/>
      <c r="Q31" s="156" t="s">
        <v>217</v>
      </c>
      <c r="R31" s="157"/>
      <c r="S31" s="157"/>
      <c r="T31" s="156" t="s">
        <v>217</v>
      </c>
      <c r="U31" s="157"/>
      <c r="V31" s="157"/>
      <c r="W31" s="156" t="s">
        <v>217</v>
      </c>
      <c r="X31" s="157"/>
      <c r="Y31" s="157"/>
      <c r="Z31" s="160"/>
      <c r="AA31" s="146"/>
      <c r="AB31" s="146"/>
      <c r="AC31" s="146"/>
      <c r="AD31" s="146"/>
      <c r="AE31" s="146"/>
      <c r="AF31" s="146"/>
      <c r="AG31" s="146"/>
      <c r="AH31" s="146"/>
      <c r="AI31" s="146"/>
      <c r="AJ31" s="146"/>
      <c r="AK31" s="146"/>
      <c r="AL31" s="161"/>
      <c r="AM31" s="162"/>
      <c r="AN31" s="179">
        <f>K31</f>
        <v>2582849.5199999996</v>
      </c>
      <c r="AO31" s="162"/>
      <c r="AP31" s="166"/>
      <c r="AQ31" s="167"/>
      <c r="AR31" s="167"/>
      <c r="AS31" s="167"/>
      <c r="AT31" s="167"/>
      <c r="AU31" s="167"/>
      <c r="AV31" s="167"/>
      <c r="AW31" s="162"/>
      <c r="AX31" s="166"/>
      <c r="AY31" s="176"/>
      <c r="BA31" s="141"/>
      <c r="BB31" s="141">
        <f t="shared" si="1"/>
        <v>2582849.5199999996</v>
      </c>
      <c r="BC31" s="143"/>
      <c r="BD31" s="141"/>
      <c r="BE31" s="143"/>
      <c r="BF31" s="141"/>
      <c r="BG31" s="141"/>
    </row>
    <row r="32" spans="1:59" s="92" customFormat="1">
      <c r="A32" s="176"/>
      <c r="B32" s="154" t="s">
        <v>91</v>
      </c>
      <c r="C32" s="26" t="s">
        <v>191</v>
      </c>
      <c r="D32" s="177" t="s">
        <v>221</v>
      </c>
      <c r="E32" s="155" t="e">
        <f>#REF!</f>
        <v>#REF!</v>
      </c>
      <c r="F32" s="191" t="s">
        <v>1186</v>
      </c>
      <c r="G32" s="156" t="s">
        <v>220</v>
      </c>
      <c r="H32" s="156" t="s">
        <v>220</v>
      </c>
      <c r="I32" s="178" t="e">
        <f>#REF!</f>
        <v>#REF!</v>
      </c>
      <c r="J32" s="178" t="e">
        <f>#REF!</f>
        <v>#REF!</v>
      </c>
      <c r="K32" s="158">
        <v>242106.84</v>
      </c>
      <c r="L32" s="157"/>
      <c r="M32" s="157"/>
      <c r="N32" s="156" t="s">
        <v>217</v>
      </c>
      <c r="O32" s="157"/>
      <c r="P32" s="157"/>
      <c r="Q32" s="156" t="s">
        <v>217</v>
      </c>
      <c r="R32" s="157"/>
      <c r="S32" s="157"/>
      <c r="T32" s="156" t="s">
        <v>217</v>
      </c>
      <c r="U32" s="157"/>
      <c r="V32" s="157"/>
      <c r="W32" s="156" t="s">
        <v>217</v>
      </c>
      <c r="X32" s="157"/>
      <c r="Y32" s="157"/>
      <c r="Z32" s="160"/>
      <c r="AA32" s="146"/>
      <c r="AB32" s="146"/>
      <c r="AC32" s="146"/>
      <c r="AD32" s="146"/>
      <c r="AE32" s="146"/>
      <c r="AF32" s="146"/>
      <c r="AG32" s="146"/>
      <c r="AH32" s="146"/>
      <c r="AI32" s="146"/>
      <c r="AJ32" s="146"/>
      <c r="AK32" s="146"/>
      <c r="AL32" s="161"/>
      <c r="AM32" s="162"/>
      <c r="AN32" s="179">
        <f>K32</f>
        <v>242106.84</v>
      </c>
      <c r="AO32" s="162"/>
      <c r="AP32" s="166"/>
      <c r="AQ32" s="167"/>
      <c r="AR32" s="167"/>
      <c r="AS32" s="167"/>
      <c r="AT32" s="167"/>
      <c r="AU32" s="167"/>
      <c r="AV32" s="167"/>
      <c r="AW32" s="162"/>
      <c r="AX32" s="166"/>
      <c r="AY32" s="176"/>
      <c r="BA32" s="141"/>
      <c r="BB32" s="141">
        <f t="shared" si="1"/>
        <v>242106.84</v>
      </c>
      <c r="BC32" s="143"/>
      <c r="BD32" s="141"/>
      <c r="BE32" s="143"/>
      <c r="BF32" s="141"/>
      <c r="BG32" s="141"/>
    </row>
    <row r="33" spans="1:59" s="92" customFormat="1" ht="25.5">
      <c r="A33" s="176"/>
      <c r="B33" s="154" t="s">
        <v>85</v>
      </c>
      <c r="C33" s="26" t="s">
        <v>191</v>
      </c>
      <c r="D33" s="177" t="s">
        <v>221</v>
      </c>
      <c r="E33" s="155" t="e">
        <f>#REF!</f>
        <v>#REF!</v>
      </c>
      <c r="F33" s="180" t="s">
        <v>1190</v>
      </c>
      <c r="G33" s="8" t="s">
        <v>284</v>
      </c>
      <c r="H33" s="8" t="s">
        <v>1215</v>
      </c>
      <c r="I33" s="178" t="e">
        <f>#REF!</f>
        <v>#REF!</v>
      </c>
      <c r="J33" s="178" t="e">
        <f>#REF!</f>
        <v>#REF!</v>
      </c>
      <c r="L33" s="158">
        <v>510207</v>
      </c>
      <c r="M33" s="157" t="s">
        <v>1195</v>
      </c>
      <c r="O33" s="156" t="s">
        <v>217</v>
      </c>
      <c r="P33" s="157" t="s">
        <v>1195</v>
      </c>
      <c r="R33" s="156" t="s">
        <v>217</v>
      </c>
      <c r="S33" s="157" t="s">
        <v>1195</v>
      </c>
      <c r="U33" s="156" t="s">
        <v>217</v>
      </c>
      <c r="V33" s="157" t="s">
        <v>1195</v>
      </c>
      <c r="W33" s="156" t="s">
        <v>217</v>
      </c>
      <c r="X33" s="157"/>
      <c r="Y33" s="157"/>
      <c r="Z33" s="147">
        <v>0.32</v>
      </c>
      <c r="AA33" s="144">
        <f>2354345+276635+6450</f>
        <v>2637430</v>
      </c>
      <c r="AB33" s="146"/>
      <c r="AC33" s="146"/>
      <c r="AD33" s="146"/>
      <c r="AE33" s="144"/>
      <c r="AF33" s="146"/>
      <c r="AG33" s="146"/>
      <c r="AH33" s="146"/>
      <c r="AI33" s="146"/>
      <c r="AJ33" s="146"/>
      <c r="AK33" s="148">
        <f>+Z33*AA33</f>
        <v>843977.6</v>
      </c>
      <c r="AL33" s="184"/>
      <c r="AM33" s="192">
        <f>AK33</f>
        <v>843977.6</v>
      </c>
      <c r="AN33" s="193"/>
      <c r="AO33" s="163">
        <v>227513</v>
      </c>
      <c r="AP33" s="164">
        <v>510967</v>
      </c>
      <c r="AQ33" s="148">
        <v>127915</v>
      </c>
      <c r="AR33" s="148">
        <v>292885</v>
      </c>
      <c r="AS33" s="148">
        <v>123999</v>
      </c>
      <c r="AT33" s="148">
        <v>298488</v>
      </c>
      <c r="AU33" s="148">
        <v>227513</v>
      </c>
      <c r="AV33" s="148">
        <v>510967</v>
      </c>
      <c r="AW33" s="163">
        <f>AU33-AS33+AQ33</f>
        <v>231429</v>
      </c>
      <c r="AX33" s="164">
        <f>AV33-AT33+AR33</f>
        <v>505364</v>
      </c>
      <c r="AY33" s="176"/>
      <c r="BA33" s="141"/>
      <c r="BB33" s="141">
        <f t="shared" si="1"/>
        <v>843977.6</v>
      </c>
      <c r="BC33" s="143"/>
      <c r="BD33" s="141">
        <f>+(AP33+AO33)-BB33</f>
        <v>-105497.59999999998</v>
      </c>
      <c r="BE33" s="143"/>
      <c r="BF33" s="141"/>
      <c r="BG33" s="141"/>
    </row>
    <row r="34" spans="1:59" s="92" customFormat="1">
      <c r="A34" s="176"/>
      <c r="B34" s="154" t="s">
        <v>95</v>
      </c>
      <c r="C34" s="26" t="s">
        <v>191</v>
      </c>
      <c r="D34" s="177" t="s">
        <v>221</v>
      </c>
      <c r="E34" s="155" t="e">
        <f>#REF!</f>
        <v>#REF!</v>
      </c>
      <c r="F34" s="191" t="s">
        <v>1187</v>
      </c>
      <c r="G34" s="156" t="s">
        <v>220</v>
      </c>
      <c r="H34" s="156" t="s">
        <v>220</v>
      </c>
      <c r="I34" s="178" t="e">
        <f>#REF!</f>
        <v>#REF!</v>
      </c>
      <c r="J34" s="178" t="e">
        <f>#REF!</f>
        <v>#REF!</v>
      </c>
      <c r="K34" s="77">
        <v>0</v>
      </c>
      <c r="L34" s="157"/>
      <c r="M34" s="157"/>
      <c r="N34" s="156"/>
      <c r="O34" s="157"/>
      <c r="P34" s="157"/>
      <c r="Q34" s="156"/>
      <c r="R34" s="157"/>
      <c r="S34" s="157"/>
      <c r="T34" s="156"/>
      <c r="U34" s="157"/>
      <c r="V34" s="157"/>
      <c r="W34" s="156"/>
      <c r="X34" s="157"/>
      <c r="Y34" s="157"/>
      <c r="Z34" s="160"/>
      <c r="AA34" s="146"/>
      <c r="AB34" s="146"/>
      <c r="AC34" s="146"/>
      <c r="AD34" s="146"/>
      <c r="AE34" s="146"/>
      <c r="AF34" s="146"/>
      <c r="AG34" s="146"/>
      <c r="AH34" s="146"/>
      <c r="AI34" s="146"/>
      <c r="AJ34" s="146"/>
      <c r="AK34" s="146"/>
      <c r="AL34" s="161"/>
      <c r="AM34" s="162"/>
      <c r="AN34" s="166"/>
      <c r="AO34" s="162"/>
      <c r="AP34" s="166"/>
      <c r="AQ34" s="167"/>
      <c r="AR34" s="167"/>
      <c r="AS34" s="167"/>
      <c r="AT34" s="167"/>
      <c r="AU34" s="167"/>
      <c r="AV34" s="167"/>
      <c r="AW34" s="162"/>
      <c r="AX34" s="166"/>
      <c r="AY34" s="176"/>
      <c r="BA34" s="141"/>
      <c r="BB34" s="141">
        <f t="shared" si="1"/>
        <v>0</v>
      </c>
      <c r="BC34" s="1"/>
      <c r="BD34" s="141"/>
      <c r="BE34" s="143"/>
      <c r="BF34" s="141"/>
      <c r="BG34" s="141"/>
    </row>
    <row r="35" spans="1:59" s="92" customFormat="1">
      <c r="A35" s="176"/>
      <c r="B35" s="154" t="s">
        <v>96</v>
      </c>
      <c r="C35" s="26" t="s">
        <v>191</v>
      </c>
      <c r="D35" s="177" t="s">
        <v>221</v>
      </c>
      <c r="E35" s="155" t="e">
        <f>#REF!</f>
        <v>#REF!</v>
      </c>
      <c r="F35" s="191" t="s">
        <v>1186</v>
      </c>
      <c r="G35" s="156" t="s">
        <v>220</v>
      </c>
      <c r="H35" s="156" t="s">
        <v>220</v>
      </c>
      <c r="I35" s="178" t="e">
        <f>#REF!</f>
        <v>#REF!</v>
      </c>
      <c r="J35" s="178" t="e">
        <f>#REF!</f>
        <v>#REF!</v>
      </c>
      <c r="K35" s="158">
        <v>2314902.36</v>
      </c>
      <c r="L35" s="157"/>
      <c r="M35" s="157"/>
      <c r="N35" s="156" t="s">
        <v>217</v>
      </c>
      <c r="O35" s="157"/>
      <c r="P35" s="157"/>
      <c r="Q35" s="156" t="s">
        <v>217</v>
      </c>
      <c r="R35" s="157"/>
      <c r="S35" s="157"/>
      <c r="T35" s="156" t="s">
        <v>217</v>
      </c>
      <c r="U35" s="157"/>
      <c r="V35" s="157"/>
      <c r="W35" s="156" t="s">
        <v>217</v>
      </c>
      <c r="X35" s="157"/>
      <c r="Y35" s="157"/>
      <c r="Z35" s="160"/>
      <c r="AA35" s="146"/>
      <c r="AB35" s="146"/>
      <c r="AC35" s="146"/>
      <c r="AD35" s="146"/>
      <c r="AE35" s="146"/>
      <c r="AF35" s="146"/>
      <c r="AG35" s="146"/>
      <c r="AH35" s="146"/>
      <c r="AI35" s="146"/>
      <c r="AJ35" s="146"/>
      <c r="AK35" s="146"/>
      <c r="AL35" s="161"/>
      <c r="AM35" s="162"/>
      <c r="AN35" s="179">
        <f>K35</f>
        <v>2314902.36</v>
      </c>
      <c r="AO35" s="162"/>
      <c r="AP35" s="166"/>
      <c r="AQ35" s="167"/>
      <c r="AR35" s="167"/>
      <c r="AS35" s="167"/>
      <c r="AT35" s="167"/>
      <c r="AU35" s="167"/>
      <c r="AV35" s="167"/>
      <c r="AW35" s="162"/>
      <c r="AX35" s="166"/>
      <c r="AY35" s="176"/>
      <c r="BA35" s="141"/>
      <c r="BB35" s="141">
        <f t="shared" si="1"/>
        <v>2314902.36</v>
      </c>
      <c r="BC35" s="1"/>
      <c r="BD35" s="141"/>
      <c r="BE35" s="143"/>
      <c r="BF35" s="141"/>
      <c r="BG35" s="141"/>
    </row>
    <row r="36" spans="1:59" s="92" customFormat="1">
      <c r="A36" s="176"/>
      <c r="B36" s="154" t="s">
        <v>114</v>
      </c>
      <c r="C36" s="26" t="s">
        <v>191</v>
      </c>
      <c r="D36" s="177" t="s">
        <v>221</v>
      </c>
      <c r="E36" s="155" t="e">
        <f>#REF!</f>
        <v>#REF!</v>
      </c>
      <c r="F36" s="191" t="s">
        <v>1186</v>
      </c>
      <c r="G36" s="156" t="s">
        <v>220</v>
      </c>
      <c r="H36" s="156" t="s">
        <v>220</v>
      </c>
      <c r="I36" s="178" t="e">
        <f>#REF!</f>
        <v>#REF!</v>
      </c>
      <c r="J36" s="178" t="e">
        <f>#REF!</f>
        <v>#REF!</v>
      </c>
      <c r="K36" s="158">
        <v>995651.64</v>
      </c>
      <c r="L36" s="157"/>
      <c r="M36" s="157"/>
      <c r="N36" s="156" t="s">
        <v>217</v>
      </c>
      <c r="O36" s="157"/>
      <c r="P36" s="157"/>
      <c r="Q36" s="156" t="s">
        <v>217</v>
      </c>
      <c r="R36" s="157"/>
      <c r="S36" s="157"/>
      <c r="T36" s="156" t="s">
        <v>217</v>
      </c>
      <c r="U36" s="157"/>
      <c r="V36" s="157"/>
      <c r="W36" s="156" t="s">
        <v>217</v>
      </c>
      <c r="X36" s="157"/>
      <c r="Y36" s="157"/>
      <c r="Z36" s="160"/>
      <c r="AA36" s="146"/>
      <c r="AB36" s="146"/>
      <c r="AC36" s="146"/>
      <c r="AD36" s="146"/>
      <c r="AE36" s="146"/>
      <c r="AF36" s="146"/>
      <c r="AG36" s="146"/>
      <c r="AH36" s="146"/>
      <c r="AI36" s="146"/>
      <c r="AJ36" s="146"/>
      <c r="AK36" s="146"/>
      <c r="AL36" s="161"/>
      <c r="AM36" s="162"/>
      <c r="AN36" s="179">
        <f>K36</f>
        <v>995651.64</v>
      </c>
      <c r="AO36" s="162"/>
      <c r="AP36" s="166"/>
      <c r="AQ36" s="167"/>
      <c r="AR36" s="167"/>
      <c r="AS36" s="167"/>
      <c r="AT36" s="167"/>
      <c r="AU36" s="167"/>
      <c r="AV36" s="167"/>
      <c r="AW36" s="162"/>
      <c r="AX36" s="166"/>
      <c r="AY36" s="176"/>
      <c r="BA36" s="141"/>
      <c r="BB36" s="141">
        <f t="shared" si="1"/>
        <v>995651.64</v>
      </c>
      <c r="BC36" s="1"/>
      <c r="BD36" s="141"/>
      <c r="BE36" s="143"/>
      <c r="BF36" s="141"/>
      <c r="BG36" s="141"/>
    </row>
    <row r="37" spans="1:59" s="92" customFormat="1">
      <c r="A37" s="176"/>
      <c r="B37" s="154" t="s">
        <v>120</v>
      </c>
      <c r="C37" s="26" t="s">
        <v>191</v>
      </c>
      <c r="D37" s="177" t="s">
        <v>221</v>
      </c>
      <c r="E37" s="155" t="e">
        <f>#REF!</f>
        <v>#REF!</v>
      </c>
      <c r="F37" s="191" t="s">
        <v>1186</v>
      </c>
      <c r="G37" s="156" t="s">
        <v>220</v>
      </c>
      <c r="H37" s="156" t="s">
        <v>220</v>
      </c>
      <c r="I37" s="178" t="e">
        <f>#REF!</f>
        <v>#REF!</v>
      </c>
      <c r="J37" s="178" t="e">
        <f>#REF!</f>
        <v>#REF!</v>
      </c>
      <c r="K37" s="158">
        <v>2692293.7535999999</v>
      </c>
      <c r="L37" s="157"/>
      <c r="M37" s="157"/>
      <c r="N37" s="156" t="s">
        <v>217</v>
      </c>
      <c r="O37" s="157"/>
      <c r="P37" s="157"/>
      <c r="Q37" s="156" t="s">
        <v>217</v>
      </c>
      <c r="R37" s="157"/>
      <c r="S37" s="157"/>
      <c r="T37" s="156" t="s">
        <v>217</v>
      </c>
      <c r="U37" s="157"/>
      <c r="V37" s="157"/>
      <c r="W37" s="156" t="s">
        <v>217</v>
      </c>
      <c r="X37" s="157"/>
      <c r="Y37" s="157"/>
      <c r="Z37" s="160"/>
      <c r="AA37" s="146"/>
      <c r="AB37" s="146"/>
      <c r="AC37" s="146"/>
      <c r="AD37" s="146"/>
      <c r="AE37" s="146"/>
      <c r="AF37" s="146"/>
      <c r="AG37" s="146"/>
      <c r="AH37" s="146"/>
      <c r="AI37" s="146"/>
      <c r="AJ37" s="146"/>
      <c r="AK37" s="146"/>
      <c r="AL37" s="161"/>
      <c r="AM37" s="162"/>
      <c r="AN37" s="179">
        <f>K37</f>
        <v>2692293.7535999999</v>
      </c>
      <c r="AO37" s="162"/>
      <c r="AP37" s="166"/>
      <c r="AQ37" s="167"/>
      <c r="AR37" s="167"/>
      <c r="AS37" s="167"/>
      <c r="AT37" s="167"/>
      <c r="AU37" s="167"/>
      <c r="AV37" s="167"/>
      <c r="AW37" s="162"/>
      <c r="AX37" s="166"/>
      <c r="AY37" s="176"/>
      <c r="BA37" s="141"/>
      <c r="BB37" s="141">
        <f t="shared" ref="BB37:BB69" si="2">(AM37+AN37)</f>
        <v>2692293.7535999999</v>
      </c>
      <c r="BC37" s="1"/>
      <c r="BD37" s="141"/>
      <c r="BE37" s="143"/>
      <c r="BF37" s="141"/>
      <c r="BG37" s="141"/>
    </row>
    <row r="38" spans="1:59" s="92" customFormat="1">
      <c r="A38" s="176"/>
      <c r="B38" s="154" t="s">
        <v>98</v>
      </c>
      <c r="C38" s="26" t="s">
        <v>191</v>
      </c>
      <c r="D38" s="177" t="s">
        <v>221</v>
      </c>
      <c r="E38" s="155" t="e">
        <f>#REF!</f>
        <v>#REF!</v>
      </c>
      <c r="F38" s="191" t="s">
        <v>1186</v>
      </c>
      <c r="G38" s="156" t="s">
        <v>220</v>
      </c>
      <c r="H38" s="156" t="s">
        <v>220</v>
      </c>
      <c r="I38" s="178" t="e">
        <f>#REF!</f>
        <v>#REF!</v>
      </c>
      <c r="J38" s="178" t="e">
        <f>#REF!</f>
        <v>#REF!</v>
      </c>
      <c r="K38" s="158">
        <v>2102560.56</v>
      </c>
      <c r="L38" s="157"/>
      <c r="M38" s="157"/>
      <c r="N38" s="156" t="s">
        <v>217</v>
      </c>
      <c r="O38" s="157"/>
      <c r="P38" s="157"/>
      <c r="Q38" s="156" t="s">
        <v>217</v>
      </c>
      <c r="R38" s="157"/>
      <c r="S38" s="157"/>
      <c r="T38" s="156" t="s">
        <v>217</v>
      </c>
      <c r="U38" s="157"/>
      <c r="V38" s="157"/>
      <c r="W38" s="156" t="s">
        <v>217</v>
      </c>
      <c r="X38" s="157"/>
      <c r="Y38" s="157"/>
      <c r="Z38" s="160"/>
      <c r="AA38" s="146"/>
      <c r="AB38" s="146"/>
      <c r="AC38" s="146"/>
      <c r="AD38" s="146"/>
      <c r="AE38" s="146"/>
      <c r="AF38" s="146"/>
      <c r="AG38" s="146"/>
      <c r="AH38" s="146"/>
      <c r="AI38" s="146"/>
      <c r="AJ38" s="146"/>
      <c r="AK38" s="146"/>
      <c r="AL38" s="161"/>
      <c r="AM38" s="162"/>
      <c r="AN38" s="179">
        <f>K38</f>
        <v>2102560.56</v>
      </c>
      <c r="AO38" s="162"/>
      <c r="AP38" s="166"/>
      <c r="AQ38" s="167"/>
      <c r="AR38" s="167"/>
      <c r="AS38" s="167"/>
      <c r="AT38" s="167"/>
      <c r="AU38" s="167"/>
      <c r="AV38" s="167"/>
      <c r="AW38" s="162"/>
      <c r="AX38" s="166"/>
      <c r="AY38" s="176"/>
      <c r="BA38" s="141"/>
      <c r="BB38" s="141">
        <f t="shared" si="2"/>
        <v>2102560.56</v>
      </c>
      <c r="BC38" s="1"/>
      <c r="BD38" s="141"/>
      <c r="BE38" s="143"/>
      <c r="BF38" s="141"/>
      <c r="BG38" s="141"/>
    </row>
    <row r="39" spans="1:59" s="92" customFormat="1">
      <c r="A39" s="176"/>
      <c r="B39" s="154" t="s">
        <v>203</v>
      </c>
      <c r="C39" s="26" t="s">
        <v>191</v>
      </c>
      <c r="D39" s="177" t="s">
        <v>221</v>
      </c>
      <c r="E39" s="155" t="e">
        <f>#REF!</f>
        <v>#REF!</v>
      </c>
      <c r="F39" s="191" t="s">
        <v>1187</v>
      </c>
      <c r="G39" s="156" t="s">
        <v>220</v>
      </c>
      <c r="H39" s="156" t="s">
        <v>220</v>
      </c>
      <c r="I39" s="178" t="e">
        <f>#REF!</f>
        <v>#REF!</v>
      </c>
      <c r="J39" s="178" t="e">
        <f>#REF!</f>
        <v>#REF!</v>
      </c>
      <c r="K39" s="77">
        <v>0</v>
      </c>
      <c r="L39" s="157"/>
      <c r="M39" s="157"/>
      <c r="N39" s="156"/>
      <c r="O39" s="157"/>
      <c r="P39" s="157"/>
      <c r="Q39" s="156"/>
      <c r="R39" s="157"/>
      <c r="S39" s="157"/>
      <c r="T39" s="156"/>
      <c r="U39" s="157"/>
      <c r="V39" s="157"/>
      <c r="W39" s="156"/>
      <c r="X39" s="157"/>
      <c r="Y39" s="157"/>
      <c r="Z39" s="160"/>
      <c r="AA39" s="146"/>
      <c r="AB39" s="146"/>
      <c r="AC39" s="146"/>
      <c r="AD39" s="146"/>
      <c r="AE39" s="146"/>
      <c r="AF39" s="146"/>
      <c r="AG39" s="146"/>
      <c r="AH39" s="146"/>
      <c r="AI39" s="146"/>
      <c r="AJ39" s="146"/>
      <c r="AK39" s="146"/>
      <c r="AL39" s="161"/>
      <c r="AM39" s="162"/>
      <c r="AN39" s="166"/>
      <c r="AO39" s="162"/>
      <c r="AP39" s="166"/>
      <c r="AQ39" s="167"/>
      <c r="AR39" s="167"/>
      <c r="AS39" s="167"/>
      <c r="AT39" s="167"/>
      <c r="AU39" s="167"/>
      <c r="AV39" s="167"/>
      <c r="AW39" s="162"/>
      <c r="AX39" s="166"/>
      <c r="AY39" s="176"/>
      <c r="BA39" s="141"/>
      <c r="BB39" s="141">
        <f t="shared" si="2"/>
        <v>0</v>
      </c>
      <c r="BC39" s="1"/>
      <c r="BD39" s="141"/>
      <c r="BE39" s="143"/>
      <c r="BF39" s="141"/>
      <c r="BG39" s="141"/>
    </row>
    <row r="40" spans="1:59" s="92" customFormat="1">
      <c r="A40" s="176"/>
      <c r="B40" s="154" t="s">
        <v>81</v>
      </c>
      <c r="C40" s="26" t="s">
        <v>191</v>
      </c>
      <c r="D40" s="177" t="s">
        <v>221</v>
      </c>
      <c r="E40" s="155" t="e">
        <f>#REF!</f>
        <v>#REF!</v>
      </c>
      <c r="F40" s="180" t="s">
        <v>1191</v>
      </c>
      <c r="G40" s="8" t="s">
        <v>284</v>
      </c>
      <c r="H40" s="8" t="s">
        <v>1215</v>
      </c>
      <c r="I40" s="178" t="e">
        <f>#REF!</f>
        <v>#REF!</v>
      </c>
      <c r="J40" s="178" t="e">
        <f>#REF!</f>
        <v>#REF!</v>
      </c>
      <c r="K40" s="139"/>
      <c r="L40" s="139">
        <f>AP40</f>
        <v>1565962</v>
      </c>
      <c r="M40" s="157" t="s">
        <v>1194</v>
      </c>
      <c r="N40" s="156"/>
      <c r="O40" s="157"/>
      <c r="P40" s="157" t="s">
        <v>1194</v>
      </c>
      <c r="Q40" s="156"/>
      <c r="R40" s="157"/>
      <c r="S40" s="157" t="s">
        <v>1194</v>
      </c>
      <c r="T40" s="156"/>
      <c r="U40" s="157"/>
      <c r="V40" s="157" t="s">
        <v>1194</v>
      </c>
      <c r="W40" s="156"/>
      <c r="X40" s="157"/>
      <c r="Y40" s="157" t="s">
        <v>1194</v>
      </c>
      <c r="Z40" s="147">
        <v>0.35</v>
      </c>
      <c r="AA40" s="144">
        <v>4436494</v>
      </c>
      <c r="AB40" s="146"/>
      <c r="AC40" s="146"/>
      <c r="AD40" s="146"/>
      <c r="AE40" s="144"/>
      <c r="AF40" s="146"/>
      <c r="AG40" s="146"/>
      <c r="AH40" s="146"/>
      <c r="AI40" s="146"/>
      <c r="AJ40" s="146"/>
      <c r="AK40" s="148">
        <f>+Z40*AA40</f>
        <v>1552772.9</v>
      </c>
      <c r="AL40" s="184"/>
      <c r="AM40" s="192"/>
      <c r="AN40" s="193">
        <f>L40</f>
        <v>1565962</v>
      </c>
      <c r="AO40" s="163"/>
      <c r="AP40" s="164">
        <v>1565962</v>
      </c>
      <c r="AQ40" s="148"/>
      <c r="AR40" s="148">
        <v>911680</v>
      </c>
      <c r="AS40" s="148"/>
      <c r="AT40" s="148">
        <v>913478</v>
      </c>
      <c r="AU40" s="148"/>
      <c r="AV40" s="148">
        <v>1565962</v>
      </c>
      <c r="AW40" s="163">
        <f>AU40-AS40+AQ40</f>
        <v>0</v>
      </c>
      <c r="AX40" s="164">
        <f>AV40-AT40+AR40</f>
        <v>1564164</v>
      </c>
      <c r="AY40" s="194"/>
      <c r="BA40" s="141"/>
      <c r="BB40" s="141">
        <f t="shared" si="2"/>
        <v>1565962</v>
      </c>
      <c r="BC40" s="1"/>
      <c r="BD40" s="141">
        <f>+(AP40+AO40)-BB40</f>
        <v>0</v>
      </c>
      <c r="BE40" s="143"/>
      <c r="BF40" s="141"/>
      <c r="BG40" s="141"/>
    </row>
    <row r="41" spans="1:59" s="92" customFormat="1">
      <c r="A41" s="176"/>
      <c r="B41" s="154" t="s">
        <v>97</v>
      </c>
      <c r="C41" s="26" t="s">
        <v>191</v>
      </c>
      <c r="D41" s="177" t="s">
        <v>221</v>
      </c>
      <c r="E41" s="155" t="e">
        <f>#REF!</f>
        <v>#REF!</v>
      </c>
      <c r="F41" s="191" t="s">
        <v>1186</v>
      </c>
      <c r="G41" s="156" t="s">
        <v>220</v>
      </c>
      <c r="H41" s="156" t="s">
        <v>220</v>
      </c>
      <c r="I41" s="178" t="e">
        <f>#REF!</f>
        <v>#REF!</v>
      </c>
      <c r="J41" s="178" t="e">
        <f>#REF!</f>
        <v>#REF!</v>
      </c>
      <c r="K41" s="158">
        <v>1380739.2000000002</v>
      </c>
      <c r="L41" s="157"/>
      <c r="M41" s="157"/>
      <c r="N41" s="156" t="s">
        <v>217</v>
      </c>
      <c r="O41" s="157"/>
      <c r="P41" s="157"/>
      <c r="Q41" s="156" t="s">
        <v>217</v>
      </c>
      <c r="R41" s="157"/>
      <c r="S41" s="157"/>
      <c r="T41" s="156" t="s">
        <v>217</v>
      </c>
      <c r="U41" s="157"/>
      <c r="V41" s="157"/>
      <c r="W41" s="156" t="s">
        <v>217</v>
      </c>
      <c r="X41" s="157"/>
      <c r="Y41" s="157"/>
      <c r="Z41" s="160"/>
      <c r="AA41" s="146"/>
      <c r="AB41" s="146"/>
      <c r="AC41" s="146"/>
      <c r="AD41" s="146"/>
      <c r="AE41" s="146"/>
      <c r="AF41" s="146"/>
      <c r="AG41" s="146"/>
      <c r="AH41" s="146"/>
      <c r="AI41" s="146"/>
      <c r="AJ41" s="146"/>
      <c r="AK41" s="146"/>
      <c r="AL41" s="161"/>
      <c r="AM41" s="162"/>
      <c r="AN41" s="179">
        <f t="shared" ref="AN41:AN46" si="3">K41</f>
        <v>1380739.2000000002</v>
      </c>
      <c r="AO41" s="162"/>
      <c r="AP41" s="166"/>
      <c r="AQ41" s="167"/>
      <c r="AR41" s="167"/>
      <c r="AS41" s="167"/>
      <c r="AT41" s="167"/>
      <c r="AU41" s="167"/>
      <c r="AV41" s="167"/>
      <c r="AW41" s="162"/>
      <c r="AX41" s="166"/>
      <c r="AY41" s="176"/>
      <c r="BA41" s="141"/>
      <c r="BB41" s="141">
        <f t="shared" si="2"/>
        <v>1380739.2000000002</v>
      </c>
      <c r="BC41" s="1"/>
      <c r="BD41" s="141"/>
      <c r="BE41" s="143"/>
      <c r="BF41" s="141"/>
      <c r="BG41" s="141"/>
    </row>
    <row r="42" spans="1:59" s="92" customFormat="1">
      <c r="A42" s="176"/>
      <c r="B42" s="154" t="s">
        <v>123</v>
      </c>
      <c r="C42" s="26" t="s">
        <v>191</v>
      </c>
      <c r="D42" s="177" t="s">
        <v>221</v>
      </c>
      <c r="E42" s="155" t="e">
        <f>#REF!</f>
        <v>#REF!</v>
      </c>
      <c r="F42" s="191" t="s">
        <v>1186</v>
      </c>
      <c r="G42" s="156" t="s">
        <v>220</v>
      </c>
      <c r="H42" s="156" t="s">
        <v>220</v>
      </c>
      <c r="I42" s="178" t="e">
        <f>#REF!</f>
        <v>#REF!</v>
      </c>
      <c r="J42" s="178" t="e">
        <f>#REF!</f>
        <v>#REF!</v>
      </c>
      <c r="K42" s="158">
        <v>1898881.08</v>
      </c>
      <c r="L42" s="157"/>
      <c r="M42" s="157"/>
      <c r="N42" s="156" t="s">
        <v>217</v>
      </c>
      <c r="O42" s="157"/>
      <c r="P42" s="157"/>
      <c r="Q42" s="156" t="s">
        <v>217</v>
      </c>
      <c r="R42" s="157"/>
      <c r="S42" s="157"/>
      <c r="T42" s="156" t="s">
        <v>217</v>
      </c>
      <c r="U42" s="157"/>
      <c r="V42" s="157"/>
      <c r="W42" s="156" t="s">
        <v>217</v>
      </c>
      <c r="X42" s="157"/>
      <c r="Y42" s="157"/>
      <c r="Z42" s="160"/>
      <c r="AA42" s="146"/>
      <c r="AB42" s="146"/>
      <c r="AC42" s="146"/>
      <c r="AD42" s="146"/>
      <c r="AE42" s="146"/>
      <c r="AF42" s="146"/>
      <c r="AG42" s="146"/>
      <c r="AH42" s="146"/>
      <c r="AI42" s="146"/>
      <c r="AJ42" s="146"/>
      <c r="AK42" s="146"/>
      <c r="AL42" s="161"/>
      <c r="AM42" s="162"/>
      <c r="AN42" s="179">
        <f t="shared" si="3"/>
        <v>1898881.08</v>
      </c>
      <c r="AO42" s="162"/>
      <c r="AP42" s="166"/>
      <c r="AQ42" s="167"/>
      <c r="AR42" s="167"/>
      <c r="AS42" s="167"/>
      <c r="AT42" s="167"/>
      <c r="AU42" s="167"/>
      <c r="AV42" s="167"/>
      <c r="AW42" s="162"/>
      <c r="AX42" s="166"/>
      <c r="AY42" s="176"/>
      <c r="BA42" s="141"/>
      <c r="BB42" s="141">
        <f t="shared" si="2"/>
        <v>1898881.08</v>
      </c>
      <c r="BC42" s="1"/>
      <c r="BD42" s="141"/>
      <c r="BE42" s="143"/>
      <c r="BF42" s="141"/>
      <c r="BG42" s="141"/>
    </row>
    <row r="43" spans="1:59" s="92" customFormat="1">
      <c r="A43" s="176"/>
      <c r="B43" s="154" t="s">
        <v>125</v>
      </c>
      <c r="C43" s="26" t="s">
        <v>191</v>
      </c>
      <c r="D43" s="177" t="s">
        <v>221</v>
      </c>
      <c r="E43" s="155" t="e">
        <f>#REF!</f>
        <v>#REF!</v>
      </c>
      <c r="F43" s="191" t="s">
        <v>1186</v>
      </c>
      <c r="G43" s="156" t="s">
        <v>220</v>
      </c>
      <c r="H43" s="156" t="s">
        <v>220</v>
      </c>
      <c r="I43" s="178" t="e">
        <f>#REF!</f>
        <v>#REF!</v>
      </c>
      <c r="J43" s="178" t="e">
        <f>#REF!</f>
        <v>#REF!</v>
      </c>
      <c r="K43" s="158">
        <v>582864.72000000009</v>
      </c>
      <c r="L43" s="157"/>
      <c r="M43" s="157"/>
      <c r="N43" s="156" t="s">
        <v>217</v>
      </c>
      <c r="O43" s="157"/>
      <c r="P43" s="157"/>
      <c r="Q43" s="156" t="s">
        <v>217</v>
      </c>
      <c r="R43" s="157"/>
      <c r="S43" s="157"/>
      <c r="T43" s="156" t="s">
        <v>217</v>
      </c>
      <c r="U43" s="157"/>
      <c r="V43" s="157"/>
      <c r="W43" s="156" t="s">
        <v>217</v>
      </c>
      <c r="X43" s="157"/>
      <c r="Y43" s="157"/>
      <c r="Z43" s="160"/>
      <c r="AA43" s="146"/>
      <c r="AB43" s="146"/>
      <c r="AC43" s="146"/>
      <c r="AD43" s="146"/>
      <c r="AE43" s="146"/>
      <c r="AF43" s="146"/>
      <c r="AG43" s="146"/>
      <c r="AH43" s="146"/>
      <c r="AI43" s="146"/>
      <c r="AJ43" s="146"/>
      <c r="AK43" s="146"/>
      <c r="AL43" s="161"/>
      <c r="AM43" s="162"/>
      <c r="AN43" s="179">
        <f t="shared" si="3"/>
        <v>582864.72000000009</v>
      </c>
      <c r="AO43" s="162"/>
      <c r="AP43" s="166"/>
      <c r="AQ43" s="167"/>
      <c r="AR43" s="167"/>
      <c r="AS43" s="167"/>
      <c r="AT43" s="167"/>
      <c r="AU43" s="167"/>
      <c r="AV43" s="167"/>
      <c r="AW43" s="162"/>
      <c r="AX43" s="166"/>
      <c r="AY43" s="176"/>
      <c r="BA43" s="141"/>
      <c r="BB43" s="141">
        <f t="shared" si="2"/>
        <v>582864.72000000009</v>
      </c>
      <c r="BC43" s="1"/>
      <c r="BD43" s="141"/>
      <c r="BE43" s="143"/>
      <c r="BF43" s="141"/>
      <c r="BG43" s="141"/>
    </row>
    <row r="44" spans="1:59" s="92" customFormat="1">
      <c r="A44" s="176"/>
      <c r="B44" s="154" t="s">
        <v>130</v>
      </c>
      <c r="C44" s="26" t="s">
        <v>191</v>
      </c>
      <c r="D44" s="177" t="s">
        <v>221</v>
      </c>
      <c r="E44" s="155" t="e">
        <f>#REF!</f>
        <v>#REF!</v>
      </c>
      <c r="F44" s="191" t="s">
        <v>1186</v>
      </c>
      <c r="G44" s="156" t="s">
        <v>220</v>
      </c>
      <c r="H44" s="156" t="s">
        <v>220</v>
      </c>
      <c r="I44" s="178" t="e">
        <f>#REF!</f>
        <v>#REF!</v>
      </c>
      <c r="J44" s="178" t="e">
        <f>#REF!</f>
        <v>#REF!</v>
      </c>
      <c r="K44" s="158">
        <v>430940.04000000004</v>
      </c>
      <c r="L44" s="157"/>
      <c r="M44" s="157"/>
      <c r="N44" s="156" t="s">
        <v>217</v>
      </c>
      <c r="O44" s="157"/>
      <c r="P44" s="157"/>
      <c r="Q44" s="156" t="s">
        <v>217</v>
      </c>
      <c r="R44" s="157"/>
      <c r="S44" s="157"/>
      <c r="T44" s="156" t="s">
        <v>217</v>
      </c>
      <c r="U44" s="157"/>
      <c r="V44" s="157"/>
      <c r="W44" s="156" t="s">
        <v>217</v>
      </c>
      <c r="X44" s="157"/>
      <c r="Y44" s="157"/>
      <c r="Z44" s="160"/>
      <c r="AA44" s="146"/>
      <c r="AB44" s="146"/>
      <c r="AC44" s="146"/>
      <c r="AD44" s="146"/>
      <c r="AE44" s="146"/>
      <c r="AF44" s="146"/>
      <c r="AG44" s="146"/>
      <c r="AH44" s="146"/>
      <c r="AI44" s="146"/>
      <c r="AJ44" s="146"/>
      <c r="AK44" s="146"/>
      <c r="AL44" s="161"/>
      <c r="AM44" s="162"/>
      <c r="AN44" s="179">
        <f t="shared" si="3"/>
        <v>430940.04000000004</v>
      </c>
      <c r="AO44" s="162"/>
      <c r="AP44" s="166"/>
      <c r="AQ44" s="167"/>
      <c r="AR44" s="167"/>
      <c r="AS44" s="167"/>
      <c r="AT44" s="167"/>
      <c r="AU44" s="167"/>
      <c r="AV44" s="167"/>
      <c r="AW44" s="162"/>
      <c r="AX44" s="166"/>
      <c r="AY44" s="176"/>
      <c r="BA44" s="141"/>
      <c r="BB44" s="141">
        <f t="shared" si="2"/>
        <v>430940.04000000004</v>
      </c>
      <c r="BC44" s="1"/>
      <c r="BD44" s="141"/>
      <c r="BE44" s="143"/>
      <c r="BF44" s="141"/>
      <c r="BG44" s="141"/>
    </row>
    <row r="45" spans="1:59" s="92" customFormat="1" ht="25.5">
      <c r="A45" s="176"/>
      <c r="B45" s="154" t="s">
        <v>90</v>
      </c>
      <c r="C45" s="26" t="s">
        <v>191</v>
      </c>
      <c r="D45" s="177" t="s">
        <v>221</v>
      </c>
      <c r="E45" s="155" t="e">
        <f>#REF!</f>
        <v>#REF!</v>
      </c>
      <c r="F45" s="191" t="s">
        <v>1219</v>
      </c>
      <c r="G45" s="156" t="s">
        <v>218</v>
      </c>
      <c r="H45" s="156" t="s">
        <v>1144</v>
      </c>
      <c r="I45" s="178" t="e">
        <f>#REF!</f>
        <v>#REF!</v>
      </c>
      <c r="J45" s="178" t="e">
        <f>#REF!</f>
        <v>#REF!</v>
      </c>
      <c r="K45" s="158">
        <v>1926314.28</v>
      </c>
      <c r="L45" s="157"/>
      <c r="M45" s="157" t="s">
        <v>1220</v>
      </c>
      <c r="N45" s="156" t="s">
        <v>217</v>
      </c>
      <c r="O45" s="157"/>
      <c r="P45" s="157" t="s">
        <v>1220</v>
      </c>
      <c r="Q45" s="156" t="s">
        <v>217</v>
      </c>
      <c r="R45" s="157"/>
      <c r="S45" s="157" t="s">
        <v>1220</v>
      </c>
      <c r="T45" s="156" t="s">
        <v>217</v>
      </c>
      <c r="U45" s="157"/>
      <c r="V45" s="157" t="s">
        <v>1220</v>
      </c>
      <c r="W45" s="156" t="s">
        <v>217</v>
      </c>
      <c r="X45" s="157"/>
      <c r="Y45" s="157" t="s">
        <v>1220</v>
      </c>
      <c r="Z45" s="147">
        <v>0.2</v>
      </c>
      <c r="AA45" s="144">
        <v>4648542</v>
      </c>
      <c r="AB45" s="146"/>
      <c r="AC45" s="146"/>
      <c r="AD45" s="146"/>
      <c r="AE45" s="146"/>
      <c r="AF45" s="146"/>
      <c r="AG45" s="146"/>
      <c r="AH45" s="146"/>
      <c r="AI45" s="146"/>
      <c r="AJ45" s="146"/>
      <c r="AK45" s="148">
        <f>(AA45-4500000)*Z45</f>
        <v>29708.400000000001</v>
      </c>
      <c r="AL45" s="161"/>
      <c r="AM45" s="185">
        <f>AK45</f>
        <v>29708.400000000001</v>
      </c>
      <c r="AN45" s="179">
        <f t="shared" si="3"/>
        <v>1926314.28</v>
      </c>
      <c r="AO45" s="162"/>
      <c r="AP45" s="164">
        <v>1987495</v>
      </c>
      <c r="AQ45" s="167"/>
      <c r="AR45" s="148">
        <v>1123683</v>
      </c>
      <c r="AS45" s="148"/>
      <c r="AT45" s="148">
        <v>1159372</v>
      </c>
      <c r="AU45" s="167"/>
      <c r="AV45" s="148">
        <v>1987495</v>
      </c>
      <c r="AW45" s="163">
        <f>AU45-AS45+AQ45</f>
        <v>0</v>
      </c>
      <c r="AX45" s="164">
        <f>AV45-AT45+AR45</f>
        <v>1951806</v>
      </c>
      <c r="AY45" s="176"/>
      <c r="BA45" s="141"/>
      <c r="BB45" s="141">
        <f t="shared" si="2"/>
        <v>1956022.68</v>
      </c>
      <c r="BC45" s="1"/>
      <c r="BD45" s="141">
        <f>+(AP45+AO45)-BB45</f>
        <v>31472.320000000065</v>
      </c>
      <c r="BE45" s="143"/>
      <c r="BF45" s="141"/>
      <c r="BG45" s="141"/>
    </row>
    <row r="46" spans="1:59" s="92" customFormat="1">
      <c r="A46" s="176"/>
      <c r="B46" s="154" t="s">
        <v>111</v>
      </c>
      <c r="C46" s="26" t="s">
        <v>191</v>
      </c>
      <c r="D46" s="177" t="s">
        <v>221</v>
      </c>
      <c r="E46" s="155" t="e">
        <f>#REF!</f>
        <v>#REF!</v>
      </c>
      <c r="F46" s="191" t="s">
        <v>1186</v>
      </c>
      <c r="G46" s="156" t="s">
        <v>220</v>
      </c>
      <c r="H46" s="156" t="s">
        <v>220</v>
      </c>
      <c r="I46" s="178" t="e">
        <f>#REF!</f>
        <v>#REF!</v>
      </c>
      <c r="J46" s="178" t="e">
        <f>#REF!</f>
        <v>#REF!</v>
      </c>
      <c r="K46" s="158">
        <v>2148478.92</v>
      </c>
      <c r="L46" s="157"/>
      <c r="M46" s="157"/>
      <c r="N46" s="156" t="s">
        <v>217</v>
      </c>
      <c r="O46" s="157"/>
      <c r="P46" s="157"/>
      <c r="Q46" s="156" t="s">
        <v>217</v>
      </c>
      <c r="R46" s="157"/>
      <c r="S46" s="157"/>
      <c r="T46" s="156" t="s">
        <v>217</v>
      </c>
      <c r="U46" s="157"/>
      <c r="V46" s="157"/>
      <c r="W46" s="156" t="s">
        <v>217</v>
      </c>
      <c r="X46" s="157"/>
      <c r="Y46" s="157"/>
      <c r="Z46" s="160"/>
      <c r="AA46" s="146"/>
      <c r="AB46" s="146"/>
      <c r="AC46" s="146"/>
      <c r="AD46" s="146"/>
      <c r="AE46" s="146"/>
      <c r="AF46" s="146"/>
      <c r="AG46" s="146"/>
      <c r="AH46" s="146"/>
      <c r="AI46" s="146"/>
      <c r="AJ46" s="146"/>
      <c r="AK46" s="146"/>
      <c r="AL46" s="161"/>
      <c r="AM46" s="162"/>
      <c r="AN46" s="179">
        <f t="shared" si="3"/>
        <v>2148478.92</v>
      </c>
      <c r="AO46" s="162"/>
      <c r="AP46" s="166"/>
      <c r="AQ46" s="167"/>
      <c r="AR46" s="167"/>
      <c r="AS46" s="167"/>
      <c r="AT46" s="167"/>
      <c r="AU46" s="167"/>
      <c r="AV46" s="167"/>
      <c r="AW46" s="162"/>
      <c r="AX46" s="166"/>
      <c r="AY46" s="176"/>
      <c r="BA46" s="141"/>
      <c r="BB46" s="141">
        <f t="shared" si="2"/>
        <v>2148478.92</v>
      </c>
      <c r="BC46" s="1"/>
      <c r="BD46" s="141"/>
      <c r="BE46" s="143"/>
      <c r="BF46" s="141"/>
      <c r="BG46" s="141"/>
    </row>
    <row r="47" spans="1:59" s="92" customFormat="1">
      <c r="A47" s="176"/>
      <c r="B47" s="154" t="s">
        <v>126</v>
      </c>
      <c r="C47" s="26" t="s">
        <v>191</v>
      </c>
      <c r="D47" s="177" t="s">
        <v>221</v>
      </c>
      <c r="E47" s="155" t="e">
        <f>#REF!</f>
        <v>#REF!</v>
      </c>
      <c r="F47" s="191" t="s">
        <v>1187</v>
      </c>
      <c r="G47" s="156" t="s">
        <v>220</v>
      </c>
      <c r="H47" s="156" t="s">
        <v>220</v>
      </c>
      <c r="I47" s="178" t="e">
        <f>#REF!</f>
        <v>#REF!</v>
      </c>
      <c r="J47" s="178" t="e">
        <f>#REF!</f>
        <v>#REF!</v>
      </c>
      <c r="K47" s="77">
        <v>0</v>
      </c>
      <c r="L47" s="157"/>
      <c r="M47" s="157"/>
      <c r="N47" s="156"/>
      <c r="O47" s="157"/>
      <c r="P47" s="157"/>
      <c r="Q47" s="156"/>
      <c r="R47" s="157"/>
      <c r="S47" s="157"/>
      <c r="T47" s="156"/>
      <c r="U47" s="157"/>
      <c r="V47" s="157"/>
      <c r="W47" s="156"/>
      <c r="X47" s="157"/>
      <c r="Y47" s="157"/>
      <c r="Z47" s="160"/>
      <c r="AA47" s="146"/>
      <c r="AB47" s="146"/>
      <c r="AC47" s="146"/>
      <c r="AD47" s="146"/>
      <c r="AE47" s="146"/>
      <c r="AF47" s="146"/>
      <c r="AG47" s="146"/>
      <c r="AH47" s="146"/>
      <c r="AI47" s="146"/>
      <c r="AJ47" s="146"/>
      <c r="AK47" s="146"/>
      <c r="AL47" s="161"/>
      <c r="AM47" s="162"/>
      <c r="AN47" s="166"/>
      <c r="AO47" s="162"/>
      <c r="AP47" s="166"/>
      <c r="AQ47" s="167"/>
      <c r="AR47" s="167"/>
      <c r="AS47" s="167"/>
      <c r="AT47" s="167"/>
      <c r="AU47" s="167"/>
      <c r="AV47" s="167"/>
      <c r="AW47" s="162"/>
      <c r="AX47" s="166"/>
      <c r="AY47" s="176"/>
      <c r="BA47" s="141"/>
      <c r="BB47" s="141">
        <f t="shared" si="2"/>
        <v>0</v>
      </c>
      <c r="BC47" s="1"/>
      <c r="BD47" s="141"/>
      <c r="BE47" s="143"/>
      <c r="BF47" s="141"/>
      <c r="BG47" s="141"/>
    </row>
    <row r="48" spans="1:59" s="92" customFormat="1" ht="38.25">
      <c r="A48" s="176"/>
      <c r="B48" s="154" t="s">
        <v>134</v>
      </c>
      <c r="C48" s="26" t="s">
        <v>191</v>
      </c>
      <c r="D48" s="177" t="s">
        <v>221</v>
      </c>
      <c r="E48" s="155" t="e">
        <f>#REF!</f>
        <v>#REF!</v>
      </c>
      <c r="F48" s="180" t="s">
        <v>1065</v>
      </c>
      <c r="G48" s="156" t="s">
        <v>284</v>
      </c>
      <c r="H48" s="156" t="s">
        <v>1192</v>
      </c>
      <c r="I48" s="178" t="e">
        <f>#REF!</f>
        <v>#REF!</v>
      </c>
      <c r="J48" s="178" t="s">
        <v>1058</v>
      </c>
      <c r="K48" s="158">
        <v>0</v>
      </c>
      <c r="L48" s="157"/>
      <c r="M48" s="157" t="s">
        <v>1193</v>
      </c>
      <c r="N48" s="156" t="s">
        <v>217</v>
      </c>
      <c r="O48" s="157"/>
      <c r="P48" s="157" t="s">
        <v>1193</v>
      </c>
      <c r="Q48" s="156" t="s">
        <v>217</v>
      </c>
      <c r="R48" s="157"/>
      <c r="S48" s="157" t="s">
        <v>1193</v>
      </c>
      <c r="T48" s="156" t="s">
        <v>217</v>
      </c>
      <c r="U48" s="157"/>
      <c r="V48" s="157" t="s">
        <v>1193</v>
      </c>
      <c r="W48" s="156" t="s">
        <v>217</v>
      </c>
      <c r="X48" s="157"/>
      <c r="Y48" s="157" t="s">
        <v>1193</v>
      </c>
      <c r="Z48" s="147">
        <v>0.93</v>
      </c>
      <c r="AA48" s="144">
        <v>2545651</v>
      </c>
      <c r="AB48" s="146"/>
      <c r="AC48" s="146"/>
      <c r="AD48" s="146"/>
      <c r="AE48" s="144">
        <v>723966</v>
      </c>
      <c r="AF48" s="146"/>
      <c r="AG48" s="146"/>
      <c r="AH48" s="146"/>
      <c r="AI48" s="170">
        <f>+(AE48-4%*AA48)-6620</f>
        <v>615519.96</v>
      </c>
      <c r="AJ48" s="146"/>
      <c r="AK48" s="148">
        <f>+Z48*AI48</f>
        <v>572433.56279999996</v>
      </c>
      <c r="AL48" s="161"/>
      <c r="AM48" s="185">
        <f>AK48</f>
        <v>572433.56279999996</v>
      </c>
      <c r="AN48" s="179"/>
      <c r="AO48" s="163">
        <v>555351</v>
      </c>
      <c r="AP48" s="166"/>
      <c r="AQ48" s="148">
        <v>285875</v>
      </c>
      <c r="AR48" s="167"/>
      <c r="AS48" s="148">
        <v>285507</v>
      </c>
      <c r="AT48" s="167"/>
      <c r="AU48" s="148">
        <v>555351</v>
      </c>
      <c r="AV48" s="167"/>
      <c r="AW48" s="163">
        <f>AU48-AS48+AQ48</f>
        <v>555719</v>
      </c>
      <c r="AX48" s="164">
        <f>AV48-AT48+AR48</f>
        <v>0</v>
      </c>
      <c r="AY48" s="176"/>
      <c r="BA48" s="141"/>
      <c r="BB48" s="141">
        <f t="shared" si="2"/>
        <v>572433.56279999996</v>
      </c>
      <c r="BC48" s="1"/>
      <c r="BD48" s="141">
        <f>+(AP48+AO48)-BB48</f>
        <v>-17082.562799999956</v>
      </c>
      <c r="BE48" s="143"/>
      <c r="BF48" s="141"/>
      <c r="BG48" s="141"/>
    </row>
    <row r="49" spans="1:59" ht="76.5">
      <c r="A49" s="62"/>
      <c r="B49" s="6" t="s">
        <v>99</v>
      </c>
      <c r="C49" s="37" t="s">
        <v>191</v>
      </c>
      <c r="D49" s="16" t="s">
        <v>221</v>
      </c>
      <c r="E49" s="17" t="e">
        <f>#REF!</f>
        <v>#REF!</v>
      </c>
      <c r="F49" s="208" t="s">
        <v>1209</v>
      </c>
      <c r="G49" s="8" t="s">
        <v>218</v>
      </c>
      <c r="H49" s="8" t="s">
        <v>1197</v>
      </c>
      <c r="I49" s="135" t="e">
        <f>#REF!</f>
        <v>#REF!</v>
      </c>
      <c r="J49" s="135" t="e">
        <f>#REF!</f>
        <v>#REF!</v>
      </c>
      <c r="K49" s="28"/>
      <c r="L49" s="28">
        <v>550000</v>
      </c>
      <c r="M49" s="11" t="s">
        <v>1214</v>
      </c>
      <c r="N49" s="1"/>
      <c r="O49" s="8" t="s">
        <v>217</v>
      </c>
      <c r="P49" s="11" t="s">
        <v>1214</v>
      </c>
      <c r="Q49" s="1"/>
      <c r="R49" s="8" t="s">
        <v>217</v>
      </c>
      <c r="S49" s="11" t="s">
        <v>1214</v>
      </c>
      <c r="T49" s="1"/>
      <c r="U49" s="8" t="s">
        <v>217</v>
      </c>
      <c r="V49" s="11" t="s">
        <v>1214</v>
      </c>
      <c r="W49" s="1"/>
      <c r="X49" s="8" t="s">
        <v>217</v>
      </c>
      <c r="Y49" s="11" t="s">
        <v>1214</v>
      </c>
      <c r="Z49" s="63" t="s">
        <v>1210</v>
      </c>
      <c r="AA49" s="104">
        <v>1977133</v>
      </c>
      <c r="AB49" s="57"/>
      <c r="AC49" s="57"/>
      <c r="AD49" s="57"/>
      <c r="AE49" s="104">
        <v>1116218</v>
      </c>
      <c r="AF49" s="57"/>
      <c r="AG49" s="57"/>
      <c r="AH49" s="57"/>
      <c r="AI49" s="170">
        <f>+(AE49-7%*AA49)-9259-3%*AA49</f>
        <v>909245.7</v>
      </c>
      <c r="AJ49" s="57"/>
      <c r="AK49" s="64">
        <f>(100000*65%)+(100000*55%)+(50%*(AI49-750000))</f>
        <v>199622.84999999998</v>
      </c>
      <c r="AL49" s="58"/>
      <c r="AM49" s="209">
        <f>AK49</f>
        <v>199622.84999999998</v>
      </c>
      <c r="AN49" s="136">
        <f>L49</f>
        <v>550000</v>
      </c>
      <c r="AO49" s="137">
        <v>194221</v>
      </c>
      <c r="AP49" s="138">
        <v>550000</v>
      </c>
      <c r="AQ49" s="134">
        <v>10868</v>
      </c>
      <c r="AR49" s="134">
        <v>320833</v>
      </c>
      <c r="AS49" s="134">
        <v>113296</v>
      </c>
      <c r="AT49" s="134">
        <v>320833</v>
      </c>
      <c r="AU49" s="134">
        <v>194221</v>
      </c>
      <c r="AV49" s="138">
        <v>550000</v>
      </c>
      <c r="AW49" s="67">
        <f>AU49-AS49+AQ49</f>
        <v>91793</v>
      </c>
      <c r="AX49" s="68">
        <f>AV49-AT49+AR49</f>
        <v>550000</v>
      </c>
      <c r="AY49" s="62"/>
      <c r="BA49" s="141"/>
      <c r="BB49" s="141">
        <f t="shared" si="2"/>
        <v>749622.85</v>
      </c>
      <c r="BD49" s="141">
        <f>+(AP49+AO49)-BB49</f>
        <v>-5401.8499999999767</v>
      </c>
      <c r="BE49" s="143"/>
      <c r="BF49" s="141"/>
      <c r="BG49" s="141"/>
    </row>
    <row r="50" spans="1:59" s="92" customFormat="1">
      <c r="A50" s="176"/>
      <c r="B50" s="154" t="s">
        <v>1418</v>
      </c>
      <c r="C50" s="26" t="s">
        <v>191</v>
      </c>
      <c r="D50" s="177" t="s">
        <v>221</v>
      </c>
      <c r="E50" s="155" t="e">
        <f>#REF!</f>
        <v>#REF!</v>
      </c>
      <c r="F50" s="191" t="s">
        <v>1187</v>
      </c>
      <c r="G50" s="156" t="s">
        <v>220</v>
      </c>
      <c r="H50" s="156" t="s">
        <v>220</v>
      </c>
      <c r="I50" s="178" t="e">
        <f>#REF!</f>
        <v>#REF!</v>
      </c>
      <c r="J50" s="178" t="e">
        <f>#REF!</f>
        <v>#REF!</v>
      </c>
      <c r="K50" s="158">
        <v>0</v>
      </c>
      <c r="L50" s="157"/>
      <c r="M50" s="157"/>
      <c r="N50" s="156"/>
      <c r="O50" s="157"/>
      <c r="P50" s="157"/>
      <c r="Q50" s="156"/>
      <c r="R50" s="157"/>
      <c r="S50" s="157"/>
      <c r="T50" s="156"/>
      <c r="U50" s="157"/>
      <c r="V50" s="157"/>
      <c r="W50" s="156"/>
      <c r="X50" s="157"/>
      <c r="Y50" s="157"/>
      <c r="Z50" s="160"/>
      <c r="AA50" s="146"/>
      <c r="AB50" s="146"/>
      <c r="AC50" s="146"/>
      <c r="AD50" s="146"/>
      <c r="AE50" s="146"/>
      <c r="AF50" s="146"/>
      <c r="AG50" s="146"/>
      <c r="AH50" s="146"/>
      <c r="AI50" s="146"/>
      <c r="AJ50" s="146"/>
      <c r="AK50" s="146"/>
      <c r="AL50" s="161"/>
      <c r="AM50" s="162"/>
      <c r="AN50" s="166"/>
      <c r="AO50" s="162"/>
      <c r="AP50" s="166"/>
      <c r="AQ50" s="167"/>
      <c r="AR50" s="167"/>
      <c r="AS50" s="167"/>
      <c r="AT50" s="167"/>
      <c r="AU50" s="167"/>
      <c r="AV50" s="167"/>
      <c r="AW50" s="162"/>
      <c r="AX50" s="166"/>
      <c r="AY50" s="176"/>
      <c r="BA50" s="141"/>
      <c r="BB50" s="141">
        <f t="shared" si="2"/>
        <v>0</v>
      </c>
      <c r="BC50" s="1"/>
      <c r="BD50" s="141"/>
      <c r="BE50" s="143"/>
      <c r="BF50" s="141"/>
      <c r="BG50" s="141"/>
    </row>
    <row r="51" spans="1:59" s="92" customFormat="1">
      <c r="A51" s="176"/>
      <c r="B51" s="154" t="s">
        <v>88</v>
      </c>
      <c r="C51" s="26" t="s">
        <v>191</v>
      </c>
      <c r="D51" s="177" t="s">
        <v>221</v>
      </c>
      <c r="E51" s="155" t="e">
        <f>#REF!</f>
        <v>#REF!</v>
      </c>
      <c r="F51" s="191" t="s">
        <v>1186</v>
      </c>
      <c r="G51" s="156" t="s">
        <v>220</v>
      </c>
      <c r="H51" s="156" t="s">
        <v>220</v>
      </c>
      <c r="I51" s="178" t="e">
        <f>#REF!</f>
        <v>#REF!</v>
      </c>
      <c r="J51" s="178" t="e">
        <f>#REF!</f>
        <v>#REF!</v>
      </c>
      <c r="K51" s="158">
        <v>1465187.04</v>
      </c>
      <c r="L51" s="157"/>
      <c r="M51" s="157"/>
      <c r="N51" s="156" t="s">
        <v>217</v>
      </c>
      <c r="O51" s="157"/>
      <c r="P51" s="157"/>
      <c r="Q51" s="156" t="s">
        <v>217</v>
      </c>
      <c r="R51" s="157"/>
      <c r="S51" s="157"/>
      <c r="T51" s="156" t="s">
        <v>217</v>
      </c>
      <c r="U51" s="157"/>
      <c r="V51" s="157"/>
      <c r="W51" s="156" t="s">
        <v>217</v>
      </c>
      <c r="X51" s="157"/>
      <c r="Y51" s="157"/>
      <c r="Z51" s="160"/>
      <c r="AA51" s="146"/>
      <c r="AB51" s="146"/>
      <c r="AC51" s="146"/>
      <c r="AD51" s="146"/>
      <c r="AE51" s="146"/>
      <c r="AF51" s="146"/>
      <c r="AG51" s="146"/>
      <c r="AH51" s="146"/>
      <c r="AI51" s="146"/>
      <c r="AJ51" s="146"/>
      <c r="AK51" s="146"/>
      <c r="AL51" s="161"/>
      <c r="AM51" s="162"/>
      <c r="AN51" s="179">
        <f>K51</f>
        <v>1465187.04</v>
      </c>
      <c r="AO51" s="162"/>
      <c r="AP51" s="166"/>
      <c r="AQ51" s="167"/>
      <c r="AR51" s="167"/>
      <c r="AS51" s="167"/>
      <c r="AT51" s="167"/>
      <c r="AU51" s="167"/>
      <c r="AV51" s="167"/>
      <c r="AW51" s="162"/>
      <c r="AX51" s="166"/>
      <c r="AY51" s="176"/>
      <c r="BA51" s="141"/>
      <c r="BB51" s="141">
        <f t="shared" si="2"/>
        <v>1465187.04</v>
      </c>
      <c r="BC51" s="1"/>
      <c r="BD51" s="141"/>
      <c r="BE51" s="143"/>
      <c r="BF51" s="141"/>
      <c r="BG51" s="141"/>
    </row>
    <row r="52" spans="1:59" s="92" customFormat="1">
      <c r="A52" s="176"/>
      <c r="B52" s="154" t="s">
        <v>87</v>
      </c>
      <c r="C52" s="26" t="s">
        <v>191</v>
      </c>
      <c r="D52" s="177" t="s">
        <v>221</v>
      </c>
      <c r="E52" s="155" t="e">
        <f>#REF!</f>
        <v>#REF!</v>
      </c>
      <c r="F52" s="191" t="s">
        <v>1186</v>
      </c>
      <c r="G52" s="156" t="s">
        <v>220</v>
      </c>
      <c r="H52" s="156" t="s">
        <v>220</v>
      </c>
      <c r="I52" s="178" t="e">
        <f>#REF!</f>
        <v>#REF!</v>
      </c>
      <c r="J52" s="178" t="e">
        <f>#REF!</f>
        <v>#REF!</v>
      </c>
      <c r="K52" s="158">
        <v>2721708</v>
      </c>
      <c r="L52" s="157"/>
      <c r="M52" s="157"/>
      <c r="N52" s="156" t="s">
        <v>217</v>
      </c>
      <c r="O52" s="157"/>
      <c r="P52" s="157"/>
      <c r="Q52" s="156" t="s">
        <v>217</v>
      </c>
      <c r="R52" s="157"/>
      <c r="S52" s="157"/>
      <c r="T52" s="156" t="s">
        <v>217</v>
      </c>
      <c r="U52" s="157"/>
      <c r="V52" s="157"/>
      <c r="W52" s="156" t="s">
        <v>217</v>
      </c>
      <c r="X52" s="157"/>
      <c r="Y52" s="157"/>
      <c r="Z52" s="160"/>
      <c r="AA52" s="146"/>
      <c r="AB52" s="146"/>
      <c r="AC52" s="146"/>
      <c r="AD52" s="146"/>
      <c r="AE52" s="146"/>
      <c r="AF52" s="146"/>
      <c r="AG52" s="146"/>
      <c r="AH52" s="146"/>
      <c r="AI52" s="146"/>
      <c r="AJ52" s="146"/>
      <c r="AK52" s="146"/>
      <c r="AL52" s="161"/>
      <c r="AM52" s="162"/>
      <c r="AN52" s="179">
        <f>K52</f>
        <v>2721708</v>
      </c>
      <c r="AO52" s="162"/>
      <c r="AP52" s="166"/>
      <c r="AQ52" s="167"/>
      <c r="AR52" s="167"/>
      <c r="AS52" s="167"/>
      <c r="AT52" s="167"/>
      <c r="AU52" s="167"/>
      <c r="AV52" s="167"/>
      <c r="AW52" s="162"/>
      <c r="AX52" s="166"/>
      <c r="AY52" s="176"/>
      <c r="BA52" s="141"/>
      <c r="BB52" s="141">
        <f t="shared" si="2"/>
        <v>2721708</v>
      </c>
      <c r="BC52" s="1"/>
      <c r="BD52" s="141"/>
      <c r="BE52" s="143"/>
      <c r="BF52" s="141"/>
      <c r="BG52" s="141"/>
    </row>
    <row r="53" spans="1:59" s="92" customFormat="1">
      <c r="A53" s="176"/>
      <c r="B53" s="154" t="s">
        <v>107</v>
      </c>
      <c r="C53" s="26" t="s">
        <v>191</v>
      </c>
      <c r="D53" s="177" t="s">
        <v>221</v>
      </c>
      <c r="E53" s="155" t="e">
        <f>#REF!</f>
        <v>#REF!</v>
      </c>
      <c r="F53" s="180" t="s">
        <v>1198</v>
      </c>
      <c r="G53" s="8" t="s">
        <v>284</v>
      </c>
      <c r="H53" s="8" t="s">
        <v>1215</v>
      </c>
      <c r="I53" s="178" t="e">
        <f>#REF!</f>
        <v>#REF!</v>
      </c>
      <c r="J53" s="178" t="e">
        <f>#REF!</f>
        <v>#REF!</v>
      </c>
      <c r="K53" s="158">
        <v>1752959.7600000002</v>
      </c>
      <c r="L53" s="157"/>
      <c r="M53" s="157" t="s">
        <v>1199</v>
      </c>
      <c r="N53" s="156" t="s">
        <v>217</v>
      </c>
      <c r="O53" s="157"/>
      <c r="P53" s="157" t="s">
        <v>1199</v>
      </c>
      <c r="Q53" s="156" t="s">
        <v>217</v>
      </c>
      <c r="R53" s="157"/>
      <c r="S53" s="157" t="s">
        <v>1199</v>
      </c>
      <c r="T53" s="156" t="s">
        <v>217</v>
      </c>
      <c r="U53" s="157"/>
      <c r="V53" s="157" t="s">
        <v>1199</v>
      </c>
      <c r="W53" s="156" t="s">
        <v>217</v>
      </c>
      <c r="X53" s="157"/>
      <c r="Y53" s="157" t="s">
        <v>1199</v>
      </c>
      <c r="Z53" s="182">
        <v>0.28000000000000003</v>
      </c>
      <c r="AA53" s="144">
        <v>7441074</v>
      </c>
      <c r="AB53" s="146"/>
      <c r="AC53" s="146"/>
      <c r="AD53" s="146"/>
      <c r="AE53" s="144"/>
      <c r="AF53" s="146"/>
      <c r="AG53" s="146"/>
      <c r="AH53" s="146"/>
      <c r="AI53" s="146"/>
      <c r="AJ53" s="146"/>
      <c r="AK53" s="183">
        <f>+Z53*AA53</f>
        <v>2083500.7200000002</v>
      </c>
      <c r="AL53" s="184"/>
      <c r="AM53" s="185">
        <f>AK53</f>
        <v>2083500.7200000002</v>
      </c>
      <c r="AN53" s="179"/>
      <c r="AO53" s="186">
        <v>327084</v>
      </c>
      <c r="AP53" s="187">
        <v>1911004</v>
      </c>
      <c r="AQ53" s="183">
        <v>96827</v>
      </c>
      <c r="AR53" s="183">
        <v>1112736</v>
      </c>
      <c r="AS53" s="183">
        <v>113646</v>
      </c>
      <c r="AT53" s="183">
        <v>1114752</v>
      </c>
      <c r="AU53" s="183">
        <v>327084</v>
      </c>
      <c r="AV53" s="183">
        <v>1911004</v>
      </c>
      <c r="AW53" s="186">
        <f>AU53-AS53+AQ53</f>
        <v>310265</v>
      </c>
      <c r="AX53" s="187">
        <f>AV53-AT53+AR53</f>
        <v>1908988</v>
      </c>
      <c r="AY53" s="176"/>
      <c r="BA53" s="141"/>
      <c r="BB53" s="141">
        <f t="shared" si="2"/>
        <v>2083500.7200000002</v>
      </c>
      <c r="BC53" s="1"/>
      <c r="BD53" s="141">
        <f>+(AP53+AO53)-BB53</f>
        <v>154587.2799999998</v>
      </c>
      <c r="BE53" s="143"/>
      <c r="BF53" s="141"/>
      <c r="BG53" s="141"/>
    </row>
    <row r="54" spans="1:59" s="92" customFormat="1">
      <c r="A54" s="176"/>
      <c r="B54" s="154" t="s">
        <v>100</v>
      </c>
      <c r="C54" s="26" t="s">
        <v>191</v>
      </c>
      <c r="D54" s="177" t="s">
        <v>221</v>
      </c>
      <c r="E54" s="155" t="e">
        <f>#REF!</f>
        <v>#REF!</v>
      </c>
      <c r="F54" s="191" t="s">
        <v>1186</v>
      </c>
      <c r="G54" s="156" t="s">
        <v>220</v>
      </c>
      <c r="H54" s="156" t="s">
        <v>220</v>
      </c>
      <c r="I54" s="178" t="e">
        <f>#REF!</f>
        <v>#REF!</v>
      </c>
      <c r="J54" s="178" t="e">
        <f>#REF!</f>
        <v>#REF!</v>
      </c>
      <c r="K54" s="158">
        <v>2359443</v>
      </c>
      <c r="L54" s="157"/>
      <c r="M54" s="157"/>
      <c r="N54" s="156" t="s">
        <v>217</v>
      </c>
      <c r="O54" s="157"/>
      <c r="P54" s="157"/>
      <c r="Q54" s="156" t="s">
        <v>217</v>
      </c>
      <c r="R54" s="157"/>
      <c r="S54" s="157"/>
      <c r="T54" s="156" t="s">
        <v>217</v>
      </c>
      <c r="U54" s="157"/>
      <c r="V54" s="157"/>
      <c r="W54" s="156" t="s">
        <v>217</v>
      </c>
      <c r="X54" s="157"/>
      <c r="Y54" s="157"/>
      <c r="Z54" s="147"/>
      <c r="AA54" s="146"/>
      <c r="AB54" s="146"/>
      <c r="AC54" s="146"/>
      <c r="AD54" s="146"/>
      <c r="AE54" s="146"/>
      <c r="AF54" s="146"/>
      <c r="AG54" s="146"/>
      <c r="AH54" s="146"/>
      <c r="AI54" s="146"/>
      <c r="AJ54" s="146"/>
      <c r="AK54" s="146"/>
      <c r="AL54" s="161"/>
      <c r="AM54" s="162"/>
      <c r="AN54" s="179">
        <f>K54</f>
        <v>2359443</v>
      </c>
      <c r="AO54" s="162"/>
      <c r="AP54" s="166"/>
      <c r="AQ54" s="167"/>
      <c r="AR54" s="167"/>
      <c r="AS54" s="167"/>
      <c r="AT54" s="167"/>
      <c r="AU54" s="167"/>
      <c r="AV54" s="167"/>
      <c r="AW54" s="186"/>
      <c r="AX54" s="187"/>
      <c r="AY54" s="176"/>
      <c r="BA54" s="141"/>
      <c r="BB54" s="141">
        <f t="shared" si="2"/>
        <v>2359443</v>
      </c>
      <c r="BC54" s="1"/>
      <c r="BD54" s="141"/>
      <c r="BE54" s="143"/>
      <c r="BF54" s="141"/>
      <c r="BG54" s="141"/>
    </row>
    <row r="55" spans="1:59" s="92" customFormat="1">
      <c r="A55" s="176"/>
      <c r="B55" s="154" t="s">
        <v>115</v>
      </c>
      <c r="C55" s="26" t="s">
        <v>191</v>
      </c>
      <c r="D55" s="177" t="s">
        <v>221</v>
      </c>
      <c r="E55" s="155" t="e">
        <f>#REF!</f>
        <v>#REF!</v>
      </c>
      <c r="F55" s="191" t="s">
        <v>1187</v>
      </c>
      <c r="G55" s="156" t="s">
        <v>220</v>
      </c>
      <c r="H55" s="156" t="s">
        <v>220</v>
      </c>
      <c r="I55" s="178" t="e">
        <f>#REF!</f>
        <v>#REF!</v>
      </c>
      <c r="J55" s="178" t="e">
        <f>#REF!</f>
        <v>#REF!</v>
      </c>
      <c r="K55" s="158">
        <v>0</v>
      </c>
      <c r="L55" s="157"/>
      <c r="M55" s="157"/>
      <c r="N55" s="156"/>
      <c r="O55" s="157"/>
      <c r="P55" s="157"/>
      <c r="Q55" s="156"/>
      <c r="R55" s="157"/>
      <c r="S55" s="157"/>
      <c r="T55" s="156"/>
      <c r="U55" s="157"/>
      <c r="V55" s="157"/>
      <c r="W55" s="156"/>
      <c r="X55" s="157"/>
      <c r="Y55" s="157"/>
      <c r="Z55" s="160"/>
      <c r="AA55" s="146"/>
      <c r="AB55" s="146"/>
      <c r="AC55" s="146"/>
      <c r="AD55" s="146"/>
      <c r="AE55" s="146"/>
      <c r="AF55" s="146"/>
      <c r="AG55" s="146"/>
      <c r="AH55" s="146"/>
      <c r="AI55" s="146"/>
      <c r="AJ55" s="146"/>
      <c r="AK55" s="146"/>
      <c r="AL55" s="161"/>
      <c r="AM55" s="162"/>
      <c r="AN55" s="166"/>
      <c r="AO55" s="162"/>
      <c r="AP55" s="166"/>
      <c r="AQ55" s="167"/>
      <c r="AR55" s="167"/>
      <c r="AS55" s="167"/>
      <c r="AT55" s="167"/>
      <c r="AU55" s="167"/>
      <c r="AV55" s="167"/>
      <c r="AW55" s="186"/>
      <c r="AX55" s="187"/>
      <c r="AY55" s="176"/>
      <c r="BA55" s="141"/>
      <c r="BB55" s="141">
        <f t="shared" si="2"/>
        <v>0</v>
      </c>
      <c r="BC55" s="1"/>
      <c r="BD55" s="141"/>
      <c r="BE55" s="143"/>
      <c r="BF55" s="141"/>
      <c r="BG55" s="141"/>
    </row>
    <row r="56" spans="1:59" s="92" customFormat="1">
      <c r="A56" s="176"/>
      <c r="B56" s="154" t="s">
        <v>135</v>
      </c>
      <c r="C56" s="26" t="s">
        <v>191</v>
      </c>
      <c r="D56" s="177" t="s">
        <v>221</v>
      </c>
      <c r="E56" s="155" t="e">
        <f>#REF!</f>
        <v>#REF!</v>
      </c>
      <c r="F56" s="191" t="s">
        <v>1187</v>
      </c>
      <c r="G56" s="156" t="s">
        <v>220</v>
      </c>
      <c r="H56" s="156" t="s">
        <v>220</v>
      </c>
      <c r="I56" s="178" t="e">
        <f>#REF!</f>
        <v>#REF!</v>
      </c>
      <c r="J56" s="178" t="e">
        <f>#REF!</f>
        <v>#REF!</v>
      </c>
      <c r="K56" s="158">
        <v>0</v>
      </c>
      <c r="L56" s="157"/>
      <c r="M56" s="157"/>
      <c r="N56" s="156"/>
      <c r="O56" s="157"/>
      <c r="P56" s="157"/>
      <c r="Q56" s="156"/>
      <c r="R56" s="157"/>
      <c r="S56" s="157"/>
      <c r="T56" s="156"/>
      <c r="U56" s="157"/>
      <c r="V56" s="157"/>
      <c r="W56" s="156"/>
      <c r="X56" s="157"/>
      <c r="Y56" s="157"/>
      <c r="Z56" s="160"/>
      <c r="AA56" s="146"/>
      <c r="AB56" s="146"/>
      <c r="AC56" s="146"/>
      <c r="AD56" s="146"/>
      <c r="AE56" s="146"/>
      <c r="AF56" s="146"/>
      <c r="AG56" s="146"/>
      <c r="AH56" s="146"/>
      <c r="AI56" s="146"/>
      <c r="AJ56" s="146"/>
      <c r="AK56" s="146"/>
      <c r="AL56" s="161"/>
      <c r="AM56" s="162"/>
      <c r="AN56" s="166"/>
      <c r="AO56" s="162"/>
      <c r="AP56" s="166"/>
      <c r="AQ56" s="167"/>
      <c r="AR56" s="167"/>
      <c r="AS56" s="167"/>
      <c r="AT56" s="167"/>
      <c r="AU56" s="167"/>
      <c r="AV56" s="167"/>
      <c r="AW56" s="186"/>
      <c r="AX56" s="187"/>
      <c r="AY56" s="176"/>
      <c r="BA56" s="141"/>
      <c r="BB56" s="141">
        <f t="shared" si="2"/>
        <v>0</v>
      </c>
      <c r="BC56" s="1"/>
      <c r="BD56" s="141"/>
      <c r="BE56" s="143"/>
      <c r="BF56" s="141"/>
      <c r="BG56" s="141"/>
    </row>
    <row r="57" spans="1:59" s="92" customFormat="1">
      <c r="A57" s="176"/>
      <c r="B57" s="154" t="s">
        <v>131</v>
      </c>
      <c r="C57" s="26" t="s">
        <v>191</v>
      </c>
      <c r="D57" s="177" t="s">
        <v>221</v>
      </c>
      <c r="E57" s="155" t="e">
        <f>#REF!</f>
        <v>#REF!</v>
      </c>
      <c r="F57" s="191" t="s">
        <v>1186</v>
      </c>
      <c r="G57" s="156" t="s">
        <v>220</v>
      </c>
      <c r="H57" s="156" t="s">
        <v>220</v>
      </c>
      <c r="I57" s="178" t="e">
        <f>#REF!</f>
        <v>#REF!</v>
      </c>
      <c r="J57" s="178" t="e">
        <f>#REF!</f>
        <v>#REF!</v>
      </c>
      <c r="K57" s="158">
        <v>630358.07999999996</v>
      </c>
      <c r="L57" s="157"/>
      <c r="M57" s="157"/>
      <c r="N57" s="156" t="s">
        <v>217</v>
      </c>
      <c r="O57" s="157"/>
      <c r="P57" s="157"/>
      <c r="Q57" s="156" t="s">
        <v>217</v>
      </c>
      <c r="R57" s="157"/>
      <c r="S57" s="157"/>
      <c r="T57" s="156" t="s">
        <v>217</v>
      </c>
      <c r="U57" s="157"/>
      <c r="V57" s="157"/>
      <c r="W57" s="156" t="s">
        <v>217</v>
      </c>
      <c r="X57" s="157"/>
      <c r="Y57" s="157"/>
      <c r="Z57" s="160"/>
      <c r="AA57" s="146"/>
      <c r="AB57" s="146"/>
      <c r="AC57" s="146"/>
      <c r="AD57" s="146"/>
      <c r="AE57" s="146"/>
      <c r="AF57" s="146"/>
      <c r="AG57" s="146"/>
      <c r="AH57" s="146"/>
      <c r="AI57" s="146"/>
      <c r="AJ57" s="146"/>
      <c r="AK57" s="146"/>
      <c r="AL57" s="161"/>
      <c r="AM57" s="162"/>
      <c r="AN57" s="179">
        <f>K57</f>
        <v>630358.07999999996</v>
      </c>
      <c r="AO57" s="162"/>
      <c r="AP57" s="166"/>
      <c r="AQ57" s="167"/>
      <c r="AR57" s="167"/>
      <c r="AS57" s="167"/>
      <c r="AT57" s="167"/>
      <c r="AU57" s="167"/>
      <c r="AV57" s="167"/>
      <c r="AW57" s="186"/>
      <c r="AX57" s="187"/>
      <c r="AY57" s="176"/>
      <c r="BA57" s="141"/>
      <c r="BB57" s="141">
        <f t="shared" si="2"/>
        <v>630358.07999999996</v>
      </c>
      <c r="BC57" s="1"/>
      <c r="BD57" s="141"/>
      <c r="BE57" s="143"/>
      <c r="BF57" s="141"/>
      <c r="BG57" s="141"/>
    </row>
    <row r="58" spans="1:59" s="92" customFormat="1">
      <c r="A58" s="176"/>
      <c r="B58" s="154" t="s">
        <v>1420</v>
      </c>
      <c r="C58" s="26" t="s">
        <v>191</v>
      </c>
      <c r="D58" s="177" t="s">
        <v>221</v>
      </c>
      <c r="E58" s="155" t="e">
        <f>#REF!</f>
        <v>#REF!</v>
      </c>
      <c r="F58" s="180" t="s">
        <v>1200</v>
      </c>
      <c r="G58" s="8" t="s">
        <v>284</v>
      </c>
      <c r="H58" s="8" t="s">
        <v>1215</v>
      </c>
      <c r="I58" s="178" t="e">
        <f>#REF!</f>
        <v>#REF!</v>
      </c>
      <c r="J58" s="178" t="e">
        <f>#REF!</f>
        <v>#REF!</v>
      </c>
      <c r="K58" s="158">
        <v>1145760.0327360001</v>
      </c>
      <c r="L58" s="157"/>
      <c r="M58" s="157"/>
      <c r="N58" s="156" t="s">
        <v>217</v>
      </c>
      <c r="O58" s="157"/>
      <c r="P58" s="157"/>
      <c r="Q58" s="156" t="s">
        <v>217</v>
      </c>
      <c r="R58" s="157"/>
      <c r="S58" s="157"/>
      <c r="T58" s="156" t="s">
        <v>217</v>
      </c>
      <c r="U58" s="157"/>
      <c r="V58" s="157"/>
      <c r="W58" s="156" t="s">
        <v>217</v>
      </c>
      <c r="X58" s="157"/>
      <c r="Y58" s="157"/>
      <c r="Z58" s="182">
        <v>0.32</v>
      </c>
      <c r="AA58" s="144">
        <v>2607531</v>
      </c>
      <c r="AB58" s="146"/>
      <c r="AC58" s="146"/>
      <c r="AD58" s="146"/>
      <c r="AE58" s="144"/>
      <c r="AF58" s="146"/>
      <c r="AG58" s="146"/>
      <c r="AH58" s="146"/>
      <c r="AI58" s="146"/>
      <c r="AJ58" s="146"/>
      <c r="AK58" s="183">
        <f>+Z58*AA58</f>
        <v>834409.92</v>
      </c>
      <c r="AL58" s="184"/>
      <c r="AM58" s="185"/>
      <c r="AN58" s="179">
        <f>K58</f>
        <v>1145760.0327360001</v>
      </c>
      <c r="AO58" s="186"/>
      <c r="AP58" s="187">
        <v>1094006</v>
      </c>
      <c r="AQ58" s="183"/>
      <c r="AR58" s="183">
        <v>710326</v>
      </c>
      <c r="AS58" s="183"/>
      <c r="AT58" s="183">
        <v>641849</v>
      </c>
      <c r="AU58" s="183"/>
      <c r="AV58" s="183">
        <v>1094006</v>
      </c>
      <c r="AW58" s="186">
        <f t="shared" ref="AW58:AX60" si="4">AU58-AS58+AQ58</f>
        <v>0</v>
      </c>
      <c r="AX58" s="187">
        <f t="shared" si="4"/>
        <v>1162483</v>
      </c>
      <c r="AY58" s="176"/>
      <c r="BA58" s="141"/>
      <c r="BB58" s="141">
        <f t="shared" si="2"/>
        <v>1145760.0327360001</v>
      </c>
      <c r="BC58" s="1"/>
      <c r="BD58" s="141">
        <f>+(AP58+AO58)-BB58</f>
        <v>-51754.032736000139</v>
      </c>
      <c r="BE58" s="143"/>
      <c r="BF58" s="141"/>
      <c r="BG58" s="141"/>
    </row>
    <row r="59" spans="1:59" s="92" customFormat="1">
      <c r="A59" s="176"/>
      <c r="B59" s="154" t="s">
        <v>116</v>
      </c>
      <c r="C59" s="26" t="s">
        <v>191</v>
      </c>
      <c r="D59" s="177" t="s">
        <v>221</v>
      </c>
      <c r="E59" s="155" t="e">
        <f>#REF!</f>
        <v>#REF!</v>
      </c>
      <c r="F59" s="180" t="s">
        <v>1201</v>
      </c>
      <c r="G59" s="8" t="s">
        <v>284</v>
      </c>
      <c r="H59" s="8" t="s">
        <v>1215</v>
      </c>
      <c r="I59" s="178" t="e">
        <f>#REF!</f>
        <v>#REF!</v>
      </c>
      <c r="J59" s="178" t="e">
        <f>#REF!</f>
        <v>#REF!</v>
      </c>
      <c r="K59" s="158">
        <v>1416179.52</v>
      </c>
      <c r="L59" s="157"/>
      <c r="M59" s="157"/>
      <c r="N59" s="156" t="s">
        <v>217</v>
      </c>
      <c r="O59" s="157"/>
      <c r="P59" s="157"/>
      <c r="Q59" s="156" t="s">
        <v>217</v>
      </c>
      <c r="R59" s="157"/>
      <c r="S59" s="157"/>
      <c r="T59" s="156" t="s">
        <v>217</v>
      </c>
      <c r="U59" s="157"/>
      <c r="V59" s="157"/>
      <c r="W59" s="156" t="s">
        <v>217</v>
      </c>
      <c r="X59" s="157"/>
      <c r="Y59" s="157"/>
      <c r="Z59" s="182">
        <v>0.28000000000000003</v>
      </c>
      <c r="AA59" s="144">
        <v>4798069</v>
      </c>
      <c r="AB59" s="146"/>
      <c r="AC59" s="146"/>
      <c r="AD59" s="146"/>
      <c r="AE59" s="144"/>
      <c r="AF59" s="146"/>
      <c r="AG59" s="146"/>
      <c r="AH59" s="146"/>
      <c r="AI59" s="146"/>
      <c r="AJ59" s="146"/>
      <c r="AK59" s="183">
        <f>+Z59*AA59</f>
        <v>1343459.32</v>
      </c>
      <c r="AL59" s="184"/>
      <c r="AM59" s="185"/>
      <c r="AN59" s="179">
        <f>K59</f>
        <v>1416179.52</v>
      </c>
      <c r="AO59" s="186"/>
      <c r="AP59" s="187">
        <v>1422208</v>
      </c>
      <c r="AQ59" s="183"/>
      <c r="AR59" s="183">
        <v>826105</v>
      </c>
      <c r="AS59" s="183"/>
      <c r="AT59" s="183">
        <v>826919</v>
      </c>
      <c r="AU59" s="183"/>
      <c r="AV59" s="183">
        <v>1422208</v>
      </c>
      <c r="AW59" s="186">
        <f t="shared" si="4"/>
        <v>0</v>
      </c>
      <c r="AX59" s="187">
        <f t="shared" si="4"/>
        <v>1421394</v>
      </c>
      <c r="AY59" s="176"/>
      <c r="BA59" s="141"/>
      <c r="BB59" s="141">
        <f t="shared" si="2"/>
        <v>1416179.52</v>
      </c>
      <c r="BC59" s="1"/>
      <c r="BD59" s="141">
        <f>+(AP59+AO59)-BB59</f>
        <v>6028.4799999999814</v>
      </c>
      <c r="BE59" s="143"/>
      <c r="BF59" s="141"/>
      <c r="BG59" s="141"/>
    </row>
    <row r="60" spans="1:59" s="92" customFormat="1" ht="38.25">
      <c r="A60" s="176"/>
      <c r="B60" s="154" t="s">
        <v>136</v>
      </c>
      <c r="C60" s="26" t="s">
        <v>191</v>
      </c>
      <c r="D60" s="177" t="s">
        <v>221</v>
      </c>
      <c r="E60" s="155" t="e">
        <f>#REF!</f>
        <v>#REF!</v>
      </c>
      <c r="F60" s="180" t="s">
        <v>1066</v>
      </c>
      <c r="G60" s="156" t="s">
        <v>284</v>
      </c>
      <c r="H60" s="156" t="s">
        <v>1192</v>
      </c>
      <c r="I60" s="178" t="e">
        <f>#REF!</f>
        <v>#REF!</v>
      </c>
      <c r="J60" s="178" t="e">
        <f>#REF!</f>
        <v>#REF!</v>
      </c>
      <c r="K60" s="158">
        <v>0</v>
      </c>
      <c r="L60" s="157"/>
      <c r="M60" s="157" t="s">
        <v>1202</v>
      </c>
      <c r="N60" s="156" t="s">
        <v>217</v>
      </c>
      <c r="O60" s="157"/>
      <c r="P60" s="157" t="s">
        <v>1202</v>
      </c>
      <c r="Q60" s="156" t="s">
        <v>217</v>
      </c>
      <c r="R60" s="157"/>
      <c r="S60" s="157" t="s">
        <v>1202</v>
      </c>
      <c r="T60" s="156" t="s">
        <v>217</v>
      </c>
      <c r="U60" s="157"/>
      <c r="V60" s="157" t="s">
        <v>1202</v>
      </c>
      <c r="W60" s="156" t="s">
        <v>217</v>
      </c>
      <c r="X60" s="157"/>
      <c r="Y60" s="157" t="s">
        <v>1202</v>
      </c>
      <c r="Z60" s="147">
        <v>0.9</v>
      </c>
      <c r="AA60" s="144">
        <v>2007656</v>
      </c>
      <c r="AB60" s="146"/>
      <c r="AC60" s="146"/>
      <c r="AD60" s="146"/>
      <c r="AE60" s="144">
        <v>506372</v>
      </c>
      <c r="AF60" s="146"/>
      <c r="AG60" s="146"/>
      <c r="AH60" s="146"/>
      <c r="AI60" s="170">
        <f>+(AE60-4%*AA60)-20672</f>
        <v>405393.76</v>
      </c>
      <c r="AJ60" s="146"/>
      <c r="AK60" s="148">
        <f>+Z60*AI60</f>
        <v>364854.38400000002</v>
      </c>
      <c r="AL60" s="161"/>
      <c r="AM60" s="185">
        <f>AK60</f>
        <v>364854.38400000002</v>
      </c>
      <c r="AN60" s="166"/>
      <c r="AO60" s="186">
        <v>413064</v>
      </c>
      <c r="AP60" s="187"/>
      <c r="AQ60" s="183">
        <v>310595</v>
      </c>
      <c r="AR60" s="183"/>
      <c r="AS60" s="183">
        <v>210396</v>
      </c>
      <c r="AT60" s="183"/>
      <c r="AU60" s="183">
        <v>413064</v>
      </c>
      <c r="AV60" s="183"/>
      <c r="AW60" s="186">
        <f t="shared" si="4"/>
        <v>513263</v>
      </c>
      <c r="AX60" s="187">
        <f t="shared" si="4"/>
        <v>0</v>
      </c>
      <c r="AY60" s="176"/>
      <c r="BA60" s="141"/>
      <c r="BB60" s="141">
        <f t="shared" si="2"/>
        <v>364854.38400000002</v>
      </c>
      <c r="BC60" s="1"/>
      <c r="BD60" s="141">
        <f>+(AP60+AO60)-BB60</f>
        <v>48209.61599999998</v>
      </c>
      <c r="BE60" s="143"/>
      <c r="BF60" s="141"/>
      <c r="BG60" s="141"/>
    </row>
    <row r="61" spans="1:59" s="92" customFormat="1">
      <c r="A61" s="176"/>
      <c r="B61" s="154" t="s">
        <v>102</v>
      </c>
      <c r="C61" s="26" t="s">
        <v>191</v>
      </c>
      <c r="D61" s="177" t="s">
        <v>221</v>
      </c>
      <c r="E61" s="155" t="e">
        <f>#REF!</f>
        <v>#REF!</v>
      </c>
      <c r="F61" s="191" t="s">
        <v>1186</v>
      </c>
      <c r="G61" s="156" t="s">
        <v>220</v>
      </c>
      <c r="H61" s="156" t="s">
        <v>220</v>
      </c>
      <c r="I61" s="178" t="e">
        <f>#REF!</f>
        <v>#REF!</v>
      </c>
      <c r="J61" s="178" t="e">
        <f>#REF!</f>
        <v>#REF!</v>
      </c>
      <c r="K61" s="158">
        <v>399236.04</v>
      </c>
      <c r="L61" s="157"/>
      <c r="M61" s="157"/>
      <c r="N61" s="156" t="s">
        <v>217</v>
      </c>
      <c r="O61" s="157"/>
      <c r="P61" s="157"/>
      <c r="Q61" s="156" t="s">
        <v>217</v>
      </c>
      <c r="R61" s="157"/>
      <c r="S61" s="157"/>
      <c r="T61" s="156" t="s">
        <v>217</v>
      </c>
      <c r="U61" s="157"/>
      <c r="V61" s="157"/>
      <c r="W61" s="156" t="s">
        <v>217</v>
      </c>
      <c r="X61" s="157"/>
      <c r="Y61" s="157"/>
      <c r="Z61" s="160"/>
      <c r="AA61" s="146"/>
      <c r="AB61" s="146"/>
      <c r="AC61" s="146"/>
      <c r="AD61" s="146"/>
      <c r="AE61" s="146"/>
      <c r="AF61" s="146"/>
      <c r="AG61" s="146"/>
      <c r="AH61" s="146"/>
      <c r="AI61" s="146"/>
      <c r="AJ61" s="146"/>
      <c r="AK61" s="146"/>
      <c r="AL61" s="161"/>
      <c r="AM61" s="162"/>
      <c r="AN61" s="179">
        <f>K61</f>
        <v>399236.04</v>
      </c>
      <c r="AO61" s="186"/>
      <c r="AP61" s="187"/>
      <c r="AQ61" s="183"/>
      <c r="AR61" s="183"/>
      <c r="AS61" s="183"/>
      <c r="AT61" s="183"/>
      <c r="AU61" s="183"/>
      <c r="AV61" s="183"/>
      <c r="AW61" s="162"/>
      <c r="AX61" s="166"/>
      <c r="AY61" s="176"/>
      <c r="BA61" s="141"/>
      <c r="BB61" s="141">
        <f t="shared" si="2"/>
        <v>399236.04</v>
      </c>
      <c r="BC61" s="1"/>
      <c r="BD61" s="141"/>
      <c r="BE61" s="143"/>
      <c r="BF61" s="141"/>
      <c r="BG61" s="141"/>
    </row>
    <row r="62" spans="1:59" s="92" customFormat="1">
      <c r="A62" s="176"/>
      <c r="B62" s="154" t="s">
        <v>108</v>
      </c>
      <c r="C62" s="26" t="s">
        <v>191</v>
      </c>
      <c r="D62" s="177" t="s">
        <v>221</v>
      </c>
      <c r="E62" s="155" t="e">
        <f>#REF!</f>
        <v>#REF!</v>
      </c>
      <c r="F62" s="191" t="s">
        <v>1187</v>
      </c>
      <c r="G62" s="156" t="s">
        <v>220</v>
      </c>
      <c r="H62" s="156" t="s">
        <v>220</v>
      </c>
      <c r="I62" s="178" t="e">
        <f>#REF!</f>
        <v>#REF!</v>
      </c>
      <c r="J62" s="178" t="e">
        <f>#REF!</f>
        <v>#REF!</v>
      </c>
      <c r="K62" s="158">
        <v>0</v>
      </c>
      <c r="L62" s="157"/>
      <c r="M62" s="157"/>
      <c r="N62" s="156"/>
      <c r="O62" s="157"/>
      <c r="P62" s="157"/>
      <c r="Q62" s="156"/>
      <c r="R62" s="157"/>
      <c r="S62" s="157"/>
      <c r="T62" s="156"/>
      <c r="U62" s="157"/>
      <c r="V62" s="157"/>
      <c r="W62" s="156"/>
      <c r="X62" s="157"/>
      <c r="Y62" s="157"/>
      <c r="Z62" s="160"/>
      <c r="AA62" s="146"/>
      <c r="AB62" s="146"/>
      <c r="AC62" s="146"/>
      <c r="AD62" s="146"/>
      <c r="AE62" s="146"/>
      <c r="AF62" s="146"/>
      <c r="AG62" s="146"/>
      <c r="AH62" s="146"/>
      <c r="AI62" s="146"/>
      <c r="AJ62" s="146"/>
      <c r="AK62" s="146"/>
      <c r="AL62" s="161"/>
      <c r="AM62" s="162"/>
      <c r="AN62" s="166"/>
      <c r="AO62" s="186"/>
      <c r="AP62" s="187"/>
      <c r="AQ62" s="183"/>
      <c r="AR62" s="183"/>
      <c r="AS62" s="183"/>
      <c r="AT62" s="183"/>
      <c r="AU62" s="183"/>
      <c r="AV62" s="183"/>
      <c r="AW62" s="162"/>
      <c r="AX62" s="166"/>
      <c r="AY62" s="176"/>
      <c r="BA62" s="141"/>
      <c r="BB62" s="141">
        <f t="shared" si="2"/>
        <v>0</v>
      </c>
      <c r="BC62" s="1"/>
      <c r="BD62" s="141"/>
      <c r="BE62" s="143"/>
      <c r="BF62" s="141"/>
      <c r="BG62" s="141"/>
    </row>
    <row r="63" spans="1:59" s="92" customFormat="1">
      <c r="A63" s="176"/>
      <c r="B63" s="154" t="s">
        <v>128</v>
      </c>
      <c r="C63" s="26" t="s">
        <v>191</v>
      </c>
      <c r="D63" s="177" t="s">
        <v>221</v>
      </c>
      <c r="E63" s="155" t="e">
        <f>#REF!</f>
        <v>#REF!</v>
      </c>
      <c r="F63" s="191" t="s">
        <v>1186</v>
      </c>
      <c r="G63" s="156" t="s">
        <v>220</v>
      </c>
      <c r="H63" s="156" t="s">
        <v>220</v>
      </c>
      <c r="I63" s="178" t="e">
        <f>#REF!</f>
        <v>#REF!</v>
      </c>
      <c r="J63" s="178" t="e">
        <f>#REF!</f>
        <v>#REF!</v>
      </c>
      <c r="K63" s="158">
        <v>389610.96</v>
      </c>
      <c r="L63" s="157"/>
      <c r="M63" s="157"/>
      <c r="N63" s="156" t="s">
        <v>217</v>
      </c>
      <c r="O63" s="157"/>
      <c r="P63" s="157"/>
      <c r="Q63" s="156" t="s">
        <v>217</v>
      </c>
      <c r="R63" s="157"/>
      <c r="S63" s="157"/>
      <c r="T63" s="156" t="s">
        <v>217</v>
      </c>
      <c r="U63" s="157"/>
      <c r="V63" s="157"/>
      <c r="W63" s="156" t="s">
        <v>217</v>
      </c>
      <c r="X63" s="157"/>
      <c r="Y63" s="157"/>
      <c r="Z63" s="160"/>
      <c r="AA63" s="146"/>
      <c r="AB63" s="146"/>
      <c r="AC63" s="146"/>
      <c r="AD63" s="146"/>
      <c r="AE63" s="146"/>
      <c r="AF63" s="146"/>
      <c r="AG63" s="146"/>
      <c r="AH63" s="146"/>
      <c r="AI63" s="146"/>
      <c r="AJ63" s="146"/>
      <c r="AK63" s="146"/>
      <c r="AL63" s="161"/>
      <c r="AM63" s="162"/>
      <c r="AN63" s="179">
        <f>K63</f>
        <v>389610.96</v>
      </c>
      <c r="AO63" s="186"/>
      <c r="AP63" s="187"/>
      <c r="AQ63" s="183"/>
      <c r="AR63" s="183"/>
      <c r="AS63" s="183"/>
      <c r="AT63" s="183"/>
      <c r="AU63" s="183"/>
      <c r="AV63" s="183"/>
      <c r="AW63" s="162"/>
      <c r="AX63" s="166"/>
      <c r="AY63" s="176"/>
      <c r="BA63" s="141"/>
      <c r="BB63" s="141">
        <f t="shared" si="2"/>
        <v>389610.96</v>
      </c>
      <c r="BC63" s="1"/>
      <c r="BD63" s="141"/>
      <c r="BE63" s="143"/>
      <c r="BF63" s="141"/>
      <c r="BG63" s="141"/>
    </row>
    <row r="64" spans="1:59" s="92" customFormat="1">
      <c r="A64" s="176"/>
      <c r="B64" s="154" t="s">
        <v>109</v>
      </c>
      <c r="C64" s="26" t="s">
        <v>191</v>
      </c>
      <c r="D64" s="177" t="s">
        <v>221</v>
      </c>
      <c r="E64" s="155" t="e">
        <f>#REF!</f>
        <v>#REF!</v>
      </c>
      <c r="F64" s="180" t="s">
        <v>1203</v>
      </c>
      <c r="G64" s="8" t="s">
        <v>284</v>
      </c>
      <c r="H64" s="8" t="s">
        <v>1215</v>
      </c>
      <c r="I64" s="178" t="e">
        <f>#REF!</f>
        <v>#REF!</v>
      </c>
      <c r="J64" s="178" t="e">
        <f>#REF!</f>
        <v>#REF!</v>
      </c>
      <c r="K64" s="158">
        <v>6378212.8799999999</v>
      </c>
      <c r="L64" s="157"/>
      <c r="M64" s="157"/>
      <c r="N64" s="156" t="s">
        <v>217</v>
      </c>
      <c r="O64" s="157"/>
      <c r="P64" s="157"/>
      <c r="Q64" s="156" t="s">
        <v>217</v>
      </c>
      <c r="R64" s="157"/>
      <c r="S64" s="157"/>
      <c r="T64" s="156" t="s">
        <v>217</v>
      </c>
      <c r="U64" s="157"/>
      <c r="V64" s="157"/>
      <c r="W64" s="156" t="s">
        <v>217</v>
      </c>
      <c r="X64" s="157"/>
      <c r="Y64" s="157"/>
      <c r="Z64" s="182">
        <v>0.32</v>
      </c>
      <c r="AA64" s="144">
        <v>21081914</v>
      </c>
      <c r="AB64" s="146"/>
      <c r="AC64" s="146"/>
      <c r="AD64" s="146"/>
      <c r="AE64" s="144"/>
      <c r="AF64" s="146"/>
      <c r="AG64" s="146"/>
      <c r="AH64" s="146"/>
      <c r="AI64" s="146"/>
      <c r="AJ64" s="146"/>
      <c r="AK64" s="183">
        <f>+Z64*AA64</f>
        <v>6746212.4800000004</v>
      </c>
      <c r="AL64" s="184"/>
      <c r="AM64" s="185">
        <f>AK64</f>
        <v>6746212.4800000004</v>
      </c>
      <c r="AN64" s="179"/>
      <c r="AO64" s="186">
        <v>491032</v>
      </c>
      <c r="AP64" s="187">
        <v>7200803</v>
      </c>
      <c r="AQ64" s="183">
        <v>1927</v>
      </c>
      <c r="AR64" s="183">
        <v>4191006</v>
      </c>
      <c r="AS64" s="183">
        <v>81914</v>
      </c>
      <c r="AT64" s="183">
        <v>4200469</v>
      </c>
      <c r="AU64" s="183">
        <v>491032</v>
      </c>
      <c r="AV64" s="183">
        <v>7200803</v>
      </c>
      <c r="AW64" s="186">
        <f>AU64-AS64+AQ64</f>
        <v>411045</v>
      </c>
      <c r="AX64" s="187">
        <f>AV64-AT64+AR64</f>
        <v>7191340</v>
      </c>
      <c r="AY64" s="176"/>
      <c r="BA64" s="141"/>
      <c r="BB64" s="141">
        <f t="shared" si="2"/>
        <v>6746212.4800000004</v>
      </c>
      <c r="BC64" s="1"/>
      <c r="BD64" s="141">
        <f>+(AP64+AO64)-BB64</f>
        <v>945622.51999999955</v>
      </c>
      <c r="BE64" s="143"/>
      <c r="BF64" s="141"/>
      <c r="BG64" s="141"/>
    </row>
    <row r="65" spans="1:59" s="92" customFormat="1">
      <c r="A65" s="176"/>
      <c r="B65" s="154" t="s">
        <v>127</v>
      </c>
      <c r="C65" s="26" t="s">
        <v>191</v>
      </c>
      <c r="D65" s="177" t="s">
        <v>221</v>
      </c>
      <c r="E65" s="155" t="e">
        <f>#REF!</f>
        <v>#REF!</v>
      </c>
      <c r="F65" s="191" t="s">
        <v>1186</v>
      </c>
      <c r="G65" s="156" t="s">
        <v>220</v>
      </c>
      <c r="H65" s="156" t="s">
        <v>220</v>
      </c>
      <c r="I65" s="178" t="e">
        <f>#REF!</f>
        <v>#REF!</v>
      </c>
      <c r="J65" s="178" t="e">
        <f>#REF!</f>
        <v>#REF!</v>
      </c>
      <c r="K65" s="158">
        <v>1299613.2</v>
      </c>
      <c r="L65" s="157"/>
      <c r="M65" s="157"/>
      <c r="N65" s="156" t="s">
        <v>217</v>
      </c>
      <c r="O65" s="157"/>
      <c r="P65" s="157"/>
      <c r="Q65" s="156" t="s">
        <v>217</v>
      </c>
      <c r="R65" s="157"/>
      <c r="S65" s="157"/>
      <c r="T65" s="156" t="s">
        <v>217</v>
      </c>
      <c r="U65" s="157"/>
      <c r="V65" s="157"/>
      <c r="W65" s="156" t="s">
        <v>217</v>
      </c>
      <c r="X65" s="157"/>
      <c r="Y65" s="157"/>
      <c r="Z65" s="160"/>
      <c r="AA65" s="146"/>
      <c r="AB65" s="146"/>
      <c r="AC65" s="146"/>
      <c r="AD65" s="146"/>
      <c r="AE65" s="146"/>
      <c r="AF65" s="146"/>
      <c r="AG65" s="146"/>
      <c r="AH65" s="146"/>
      <c r="AI65" s="146"/>
      <c r="AJ65" s="146"/>
      <c r="AK65" s="146"/>
      <c r="AL65" s="161"/>
      <c r="AM65" s="162"/>
      <c r="AN65" s="179">
        <f>K65</f>
        <v>1299613.2</v>
      </c>
      <c r="AO65" s="162"/>
      <c r="AP65" s="166"/>
      <c r="AQ65" s="167"/>
      <c r="AR65" s="167"/>
      <c r="AS65" s="167"/>
      <c r="AT65" s="167"/>
      <c r="AU65" s="167"/>
      <c r="AV65" s="167"/>
      <c r="AW65" s="162"/>
      <c r="AX65" s="166"/>
      <c r="AY65" s="176"/>
      <c r="BA65" s="141"/>
      <c r="BB65" s="141">
        <f t="shared" si="2"/>
        <v>1299613.2</v>
      </c>
      <c r="BC65" s="1"/>
      <c r="BD65" s="141"/>
      <c r="BE65" s="143"/>
      <c r="BF65" s="141"/>
      <c r="BG65" s="141"/>
    </row>
    <row r="66" spans="1:59" s="92" customFormat="1">
      <c r="A66" s="176"/>
      <c r="B66" s="154" t="s">
        <v>129</v>
      </c>
      <c r="C66" s="26" t="s">
        <v>191</v>
      </c>
      <c r="D66" s="177" t="s">
        <v>221</v>
      </c>
      <c r="E66" s="155" t="e">
        <f>#REF!</f>
        <v>#REF!</v>
      </c>
      <c r="F66" s="191" t="s">
        <v>1186</v>
      </c>
      <c r="G66" s="156" t="s">
        <v>220</v>
      </c>
      <c r="H66" s="156" t="s">
        <v>220</v>
      </c>
      <c r="I66" s="178" t="e">
        <f>#REF!</f>
        <v>#REF!</v>
      </c>
      <c r="J66" s="178" t="e">
        <f>#REF!</f>
        <v>#REF!</v>
      </c>
      <c r="K66" s="158">
        <v>1111508.1599999999</v>
      </c>
      <c r="L66" s="157"/>
      <c r="M66" s="157"/>
      <c r="N66" s="156" t="s">
        <v>217</v>
      </c>
      <c r="O66" s="157"/>
      <c r="P66" s="157"/>
      <c r="Q66" s="156" t="s">
        <v>217</v>
      </c>
      <c r="R66" s="157"/>
      <c r="S66" s="157"/>
      <c r="T66" s="156" t="s">
        <v>217</v>
      </c>
      <c r="U66" s="157"/>
      <c r="V66" s="157"/>
      <c r="W66" s="156" t="s">
        <v>217</v>
      </c>
      <c r="X66" s="157"/>
      <c r="Y66" s="157"/>
      <c r="Z66" s="160"/>
      <c r="AA66" s="146"/>
      <c r="AB66" s="146"/>
      <c r="AC66" s="146"/>
      <c r="AD66" s="146"/>
      <c r="AE66" s="146"/>
      <c r="AF66" s="146"/>
      <c r="AG66" s="146"/>
      <c r="AH66" s="146"/>
      <c r="AI66" s="146"/>
      <c r="AJ66" s="146"/>
      <c r="AK66" s="146"/>
      <c r="AL66" s="161"/>
      <c r="AM66" s="162"/>
      <c r="AN66" s="179">
        <f>K66</f>
        <v>1111508.1599999999</v>
      </c>
      <c r="AO66" s="162"/>
      <c r="AP66" s="166"/>
      <c r="AQ66" s="167"/>
      <c r="AR66" s="167"/>
      <c r="AS66" s="167"/>
      <c r="AT66" s="167"/>
      <c r="AU66" s="167"/>
      <c r="AV66" s="167"/>
      <c r="AW66" s="162"/>
      <c r="AX66" s="166"/>
      <c r="AY66" s="176"/>
      <c r="BA66" s="141"/>
      <c r="BB66" s="141">
        <f t="shared" si="2"/>
        <v>1111508.1599999999</v>
      </c>
      <c r="BC66" s="1"/>
      <c r="BD66" s="141"/>
      <c r="BE66" s="143"/>
      <c r="BF66" s="141"/>
      <c r="BG66" s="141"/>
    </row>
    <row r="67" spans="1:59" s="92" customFormat="1">
      <c r="A67" s="176"/>
      <c r="B67" s="154" t="s">
        <v>92</v>
      </c>
      <c r="C67" s="26" t="s">
        <v>191</v>
      </c>
      <c r="D67" s="177" t="s">
        <v>221</v>
      </c>
      <c r="E67" s="155" t="e">
        <f>#REF!</f>
        <v>#REF!</v>
      </c>
      <c r="F67" s="191" t="s">
        <v>1186</v>
      </c>
      <c r="G67" s="156" t="s">
        <v>220</v>
      </c>
      <c r="H67" s="156" t="s">
        <v>220</v>
      </c>
      <c r="I67" s="178" t="e">
        <f>#REF!</f>
        <v>#REF!</v>
      </c>
      <c r="J67" s="178" t="e">
        <f>#REF!</f>
        <v>#REF!</v>
      </c>
      <c r="K67" s="158">
        <v>981599.04</v>
      </c>
      <c r="L67" s="157"/>
      <c r="M67" s="157"/>
      <c r="N67" s="156" t="s">
        <v>217</v>
      </c>
      <c r="O67" s="157"/>
      <c r="P67" s="157"/>
      <c r="Q67" s="156" t="s">
        <v>217</v>
      </c>
      <c r="R67" s="157"/>
      <c r="S67" s="157"/>
      <c r="T67" s="156" t="s">
        <v>217</v>
      </c>
      <c r="U67" s="157"/>
      <c r="V67" s="157"/>
      <c r="W67" s="156" t="s">
        <v>217</v>
      </c>
      <c r="X67" s="157"/>
      <c r="Y67" s="157"/>
      <c r="Z67" s="160"/>
      <c r="AA67" s="146"/>
      <c r="AB67" s="146"/>
      <c r="AC67" s="146"/>
      <c r="AD67" s="146"/>
      <c r="AE67" s="146"/>
      <c r="AF67" s="146"/>
      <c r="AG67" s="146"/>
      <c r="AH67" s="146"/>
      <c r="AI67" s="146"/>
      <c r="AJ67" s="146"/>
      <c r="AK67" s="146"/>
      <c r="AL67" s="161"/>
      <c r="AM67" s="162"/>
      <c r="AN67" s="179">
        <f>K67</f>
        <v>981599.04</v>
      </c>
      <c r="AO67" s="162"/>
      <c r="AP67" s="166"/>
      <c r="AQ67" s="167"/>
      <c r="AR67" s="167"/>
      <c r="AS67" s="167"/>
      <c r="AT67" s="167"/>
      <c r="AU67" s="167"/>
      <c r="AV67" s="167"/>
      <c r="AW67" s="162"/>
      <c r="AX67" s="166"/>
      <c r="AY67" s="176"/>
      <c r="BA67" s="141"/>
      <c r="BB67" s="141">
        <f t="shared" si="2"/>
        <v>981599.04</v>
      </c>
      <c r="BC67" s="1"/>
      <c r="BD67" s="141"/>
      <c r="BE67" s="143"/>
      <c r="BF67" s="141"/>
      <c r="BG67" s="141"/>
    </row>
    <row r="68" spans="1:59" s="92" customFormat="1">
      <c r="A68" s="176"/>
      <c r="B68" s="154" t="s">
        <v>137</v>
      </c>
      <c r="C68" s="26" t="s">
        <v>191</v>
      </c>
      <c r="D68" s="177" t="s">
        <v>221</v>
      </c>
      <c r="E68" s="155" t="e">
        <f>#REF!</f>
        <v>#REF!</v>
      </c>
      <c r="F68" s="191" t="s">
        <v>1186</v>
      </c>
      <c r="G68" s="156" t="s">
        <v>220</v>
      </c>
      <c r="H68" s="156" t="s">
        <v>220</v>
      </c>
      <c r="I68" s="178" t="e">
        <f>#REF!</f>
        <v>#REF!</v>
      </c>
      <c r="J68" s="178" t="e">
        <f>#REF!</f>
        <v>#REF!</v>
      </c>
      <c r="K68" s="158">
        <v>2126261.1427199999</v>
      </c>
      <c r="L68" s="157"/>
      <c r="M68" s="157"/>
      <c r="N68" s="156" t="s">
        <v>217</v>
      </c>
      <c r="O68" s="157"/>
      <c r="P68" s="157"/>
      <c r="Q68" s="156" t="s">
        <v>217</v>
      </c>
      <c r="R68" s="157"/>
      <c r="S68" s="157"/>
      <c r="T68" s="156" t="s">
        <v>217</v>
      </c>
      <c r="U68" s="157"/>
      <c r="V68" s="157"/>
      <c r="W68" s="156" t="s">
        <v>217</v>
      </c>
      <c r="X68" s="157"/>
      <c r="Y68" s="157"/>
      <c r="Z68" s="160"/>
      <c r="AA68" s="146"/>
      <c r="AB68" s="146"/>
      <c r="AC68" s="146"/>
      <c r="AD68" s="146"/>
      <c r="AE68" s="146"/>
      <c r="AF68" s="146"/>
      <c r="AG68" s="146"/>
      <c r="AH68" s="146"/>
      <c r="AI68" s="146"/>
      <c r="AJ68" s="146"/>
      <c r="AK68" s="146"/>
      <c r="AL68" s="161"/>
      <c r="AM68" s="162"/>
      <c r="AN68" s="179">
        <f>K68</f>
        <v>2126261.1427199999</v>
      </c>
      <c r="AO68" s="162"/>
      <c r="AP68" s="166"/>
      <c r="AQ68" s="167"/>
      <c r="AR68" s="167"/>
      <c r="AS68" s="167"/>
      <c r="AT68" s="167"/>
      <c r="AU68" s="167"/>
      <c r="AV68" s="167"/>
      <c r="AW68" s="162"/>
      <c r="AX68" s="166"/>
      <c r="AY68" s="176"/>
      <c r="BA68" s="141"/>
      <c r="BB68" s="141">
        <f t="shared" si="2"/>
        <v>2126261.1427199999</v>
      </c>
      <c r="BC68" s="1"/>
      <c r="BD68" s="141"/>
      <c r="BE68" s="143"/>
      <c r="BF68" s="141"/>
      <c r="BG68" s="141"/>
    </row>
    <row r="69" spans="1:59" s="92" customFormat="1">
      <c r="A69" s="176"/>
      <c r="B69" s="154" t="s">
        <v>209</v>
      </c>
      <c r="C69" s="26" t="s">
        <v>191</v>
      </c>
      <c r="D69" s="177" t="s">
        <v>221</v>
      </c>
      <c r="E69" s="155" t="e">
        <f>#REF!</f>
        <v>#REF!</v>
      </c>
      <c r="F69" s="191" t="s">
        <v>1186</v>
      </c>
      <c r="G69" s="156" t="s">
        <v>220</v>
      </c>
      <c r="H69" s="156" t="s">
        <v>220</v>
      </c>
      <c r="I69" s="178" t="e">
        <f>#REF!</f>
        <v>#REF!</v>
      </c>
      <c r="J69" s="178" t="e">
        <f>#REF!</f>
        <v>#REF!</v>
      </c>
      <c r="K69" s="158">
        <v>3935550.8400000003</v>
      </c>
      <c r="L69" s="157"/>
      <c r="M69" s="157"/>
      <c r="N69" s="156" t="s">
        <v>217</v>
      </c>
      <c r="O69" s="157"/>
      <c r="P69" s="157"/>
      <c r="Q69" s="156" t="s">
        <v>217</v>
      </c>
      <c r="R69" s="157"/>
      <c r="S69" s="157"/>
      <c r="T69" s="156" t="s">
        <v>217</v>
      </c>
      <c r="U69" s="157"/>
      <c r="V69" s="157"/>
      <c r="W69" s="156" t="s">
        <v>217</v>
      </c>
      <c r="X69" s="157"/>
      <c r="Y69" s="157"/>
      <c r="Z69" s="160"/>
      <c r="AA69" s="146"/>
      <c r="AB69" s="146"/>
      <c r="AC69" s="146"/>
      <c r="AD69" s="146"/>
      <c r="AE69" s="146"/>
      <c r="AF69" s="146"/>
      <c r="AG69" s="146"/>
      <c r="AH69" s="146"/>
      <c r="AI69" s="146"/>
      <c r="AJ69" s="146"/>
      <c r="AK69" s="146"/>
      <c r="AL69" s="161"/>
      <c r="AM69" s="162"/>
      <c r="AN69" s="179">
        <f>K69</f>
        <v>3935550.8400000003</v>
      </c>
      <c r="AO69" s="162"/>
      <c r="AP69" s="166"/>
      <c r="AQ69" s="167"/>
      <c r="AR69" s="167"/>
      <c r="AS69" s="167"/>
      <c r="AT69" s="167"/>
      <c r="AU69" s="167"/>
      <c r="AV69" s="167"/>
      <c r="AW69" s="162"/>
      <c r="AX69" s="166"/>
      <c r="AY69" s="176"/>
      <c r="BA69" s="141"/>
      <c r="BB69" s="141">
        <f t="shared" si="2"/>
        <v>3935550.8400000003</v>
      </c>
      <c r="BC69" s="1"/>
      <c r="BD69" s="141"/>
      <c r="BE69" s="143"/>
      <c r="BF69" s="141"/>
      <c r="BG69" s="141"/>
    </row>
    <row r="70" spans="1:59" s="92" customFormat="1">
      <c r="F70" s="188"/>
      <c r="G70" s="189"/>
      <c r="H70" s="189"/>
      <c r="I70" s="189"/>
      <c r="J70" s="189"/>
      <c r="K70" s="190"/>
      <c r="L70" s="190"/>
      <c r="M70" s="190"/>
      <c r="N70" s="190"/>
      <c r="O70" s="190"/>
      <c r="P70" s="190"/>
      <c r="Q70" s="190"/>
      <c r="R70" s="190"/>
      <c r="S70" s="190"/>
      <c r="T70" s="190"/>
      <c r="U70" s="190"/>
      <c r="V70" s="190"/>
      <c r="W70" s="190"/>
      <c r="X70" s="190"/>
      <c r="Y70" s="190"/>
      <c r="Z70" s="190"/>
      <c r="AA70" s="190"/>
      <c r="AB70" s="190"/>
      <c r="AC70" s="190"/>
      <c r="AD70" s="190"/>
      <c r="AE70" s="190"/>
      <c r="AF70" s="190"/>
      <c r="AG70" s="190"/>
      <c r="AH70" s="190"/>
      <c r="AI70" s="190"/>
      <c r="AJ70" s="190"/>
      <c r="AK70" s="190"/>
      <c r="AL70" s="190"/>
      <c r="BA70" s="1"/>
      <c r="BB70" s="1"/>
      <c r="BC70" s="1"/>
      <c r="BD70" s="1"/>
      <c r="BE70" s="1"/>
      <c r="BF70" s="1"/>
      <c r="BG70" s="1"/>
    </row>
    <row r="71" spans="1:59" s="92" customFormat="1">
      <c r="F71" s="188"/>
      <c r="G71" s="189"/>
      <c r="H71" s="189"/>
      <c r="I71" s="189"/>
      <c r="J71" s="189"/>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BA71" s="1"/>
      <c r="BB71" s="1"/>
      <c r="BC71" s="1"/>
      <c r="BD71" s="1"/>
      <c r="BE71" s="1"/>
      <c r="BF71" s="1"/>
      <c r="BG71" s="1"/>
    </row>
    <row r="72" spans="1:59" s="92" customFormat="1">
      <c r="F72" s="188"/>
      <c r="G72" s="189"/>
      <c r="H72" s="189"/>
      <c r="I72" s="189"/>
      <c r="J72" s="189"/>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BA72" s="1"/>
      <c r="BB72" s="1"/>
      <c r="BC72" s="1"/>
      <c r="BD72" s="1"/>
      <c r="BE72" s="1"/>
      <c r="BF72" s="1"/>
      <c r="BG72" s="1"/>
    </row>
    <row r="73" spans="1:59" s="92" customFormat="1">
      <c r="F73" s="188"/>
      <c r="G73" s="189"/>
      <c r="H73" s="189"/>
      <c r="I73" s="189"/>
      <c r="J73" s="189"/>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BA73" s="1"/>
      <c r="BB73" s="1"/>
      <c r="BC73" s="1"/>
      <c r="BD73" s="1"/>
      <c r="BE73" s="1"/>
      <c r="BF73" s="1"/>
      <c r="BG73" s="1"/>
    </row>
    <row r="74" spans="1:59" s="92" customFormat="1">
      <c r="F74" s="188"/>
      <c r="G74" s="189"/>
      <c r="H74" s="189"/>
      <c r="I74" s="189"/>
      <c r="J74" s="189"/>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190"/>
      <c r="AK74" s="190"/>
      <c r="AL74" s="190"/>
      <c r="BA74" s="1"/>
      <c r="BB74" s="1"/>
      <c r="BC74" s="1"/>
      <c r="BD74" s="1"/>
      <c r="BE74" s="1"/>
      <c r="BF74" s="1"/>
      <c r="BG74" s="1"/>
    </row>
    <row r="75" spans="1:59" s="92" customFormat="1">
      <c r="F75" s="188"/>
      <c r="G75" s="189"/>
      <c r="H75" s="189"/>
      <c r="I75" s="189"/>
      <c r="J75" s="189"/>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BA75" s="1"/>
      <c r="BB75" s="1"/>
      <c r="BC75" s="1"/>
      <c r="BD75" s="1"/>
      <c r="BE75" s="1"/>
      <c r="BF75" s="1"/>
      <c r="BG75" s="1"/>
    </row>
    <row r="76" spans="1:59" s="92" customFormat="1">
      <c r="F76" s="188"/>
      <c r="G76" s="189"/>
      <c r="H76" s="189"/>
      <c r="I76" s="189"/>
      <c r="J76" s="189"/>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BA76" s="1"/>
      <c r="BB76" s="1"/>
      <c r="BC76" s="1"/>
      <c r="BD76" s="1"/>
      <c r="BE76" s="1"/>
      <c r="BF76" s="1"/>
      <c r="BG76" s="1"/>
    </row>
    <row r="77" spans="1:59" s="92" customFormat="1">
      <c r="F77" s="188"/>
      <c r="G77" s="189"/>
      <c r="H77" s="189"/>
      <c r="I77" s="189"/>
      <c r="J77" s="189"/>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0"/>
      <c r="AL77" s="190"/>
      <c r="BA77" s="1"/>
      <c r="BB77" s="1"/>
      <c r="BC77" s="1"/>
      <c r="BD77" s="1"/>
      <c r="BE77" s="1"/>
      <c r="BF77" s="1"/>
      <c r="BG77" s="1"/>
    </row>
    <row r="78" spans="1:59" s="92" customFormat="1">
      <c r="F78" s="188"/>
      <c r="G78" s="189"/>
      <c r="H78" s="189"/>
      <c r="I78" s="189"/>
      <c r="J78" s="189"/>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BA78" s="1"/>
      <c r="BB78" s="1"/>
      <c r="BC78" s="1"/>
      <c r="BD78" s="1"/>
      <c r="BE78" s="1"/>
      <c r="BF78" s="1"/>
      <c r="BG78" s="1"/>
    </row>
    <row r="79" spans="1:59" s="92" customFormat="1">
      <c r="F79" s="188"/>
      <c r="G79" s="189"/>
      <c r="H79" s="189"/>
      <c r="I79" s="189"/>
      <c r="J79" s="189"/>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BA79" s="1"/>
      <c r="BB79" s="1"/>
      <c r="BC79" s="1"/>
      <c r="BD79" s="1"/>
      <c r="BE79" s="1"/>
      <c r="BF79" s="1"/>
      <c r="BG79" s="1"/>
    </row>
    <row r="80" spans="1:59" s="92" customFormat="1">
      <c r="F80" s="188"/>
      <c r="G80" s="189"/>
      <c r="H80" s="189"/>
      <c r="I80" s="189"/>
      <c r="J80" s="189"/>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BA80" s="1"/>
      <c r="BB80" s="1"/>
      <c r="BC80" s="1"/>
      <c r="BD80" s="1"/>
      <c r="BE80" s="1"/>
      <c r="BF80" s="1"/>
      <c r="BG80" s="1"/>
    </row>
    <row r="81" spans="6:59" s="92" customFormat="1">
      <c r="F81" s="188"/>
      <c r="G81" s="189"/>
      <c r="H81" s="189"/>
      <c r="I81" s="189"/>
      <c r="J81" s="189"/>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BA81" s="1"/>
      <c r="BB81" s="1"/>
      <c r="BC81" s="1"/>
      <c r="BD81" s="1"/>
      <c r="BE81" s="1"/>
      <c r="BF81" s="1"/>
      <c r="BG81" s="1"/>
    </row>
    <row r="82" spans="6:59" s="92" customFormat="1">
      <c r="F82" s="188"/>
      <c r="G82" s="189"/>
      <c r="H82" s="189"/>
      <c r="I82" s="189"/>
      <c r="J82" s="189"/>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BA82" s="1"/>
      <c r="BB82" s="1"/>
      <c r="BC82" s="1"/>
      <c r="BD82" s="1"/>
      <c r="BE82" s="1"/>
      <c r="BF82" s="1"/>
      <c r="BG82" s="1"/>
    </row>
    <row r="83" spans="6:59" s="92" customFormat="1">
      <c r="F83" s="188"/>
      <c r="G83" s="189"/>
      <c r="H83" s="189"/>
      <c r="I83" s="189"/>
      <c r="J83" s="189"/>
      <c r="K83" s="190"/>
      <c r="L83" s="190"/>
      <c r="M83" s="190"/>
      <c r="N83" s="190"/>
      <c r="O83" s="190"/>
      <c r="P83" s="190"/>
      <c r="Q83" s="190"/>
      <c r="R83" s="190"/>
      <c r="S83" s="190"/>
      <c r="T83" s="190"/>
      <c r="U83" s="190"/>
      <c r="V83" s="190"/>
      <c r="W83" s="190"/>
      <c r="X83" s="190"/>
      <c r="Y83" s="190"/>
      <c r="Z83" s="190"/>
      <c r="AA83" s="190"/>
      <c r="AB83" s="190"/>
      <c r="AC83" s="190"/>
      <c r="AD83" s="190"/>
      <c r="AE83" s="190"/>
      <c r="AF83" s="190"/>
      <c r="AG83" s="190"/>
      <c r="AH83" s="190"/>
      <c r="AI83" s="190"/>
      <c r="AJ83" s="190"/>
      <c r="AK83" s="190"/>
      <c r="AL83" s="190"/>
      <c r="BA83" s="1"/>
      <c r="BB83" s="1"/>
      <c r="BC83" s="1"/>
      <c r="BD83" s="1"/>
      <c r="BE83" s="1"/>
      <c r="BF83" s="1"/>
      <c r="BG83" s="1"/>
    </row>
    <row r="84" spans="6:59" s="92" customFormat="1">
      <c r="F84" s="188"/>
      <c r="G84" s="189"/>
      <c r="H84" s="189"/>
      <c r="I84" s="189"/>
      <c r="J84" s="189"/>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BA84" s="1"/>
      <c r="BB84" s="1"/>
      <c r="BC84" s="1"/>
      <c r="BD84" s="1"/>
      <c r="BE84" s="1"/>
      <c r="BF84" s="1"/>
      <c r="BG84" s="1"/>
    </row>
    <row r="85" spans="6:59" s="92" customFormat="1">
      <c r="F85" s="188"/>
      <c r="G85" s="189"/>
      <c r="H85" s="189"/>
      <c r="I85" s="189"/>
      <c r="J85" s="189"/>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0"/>
      <c r="AK85" s="190"/>
      <c r="AL85" s="190"/>
      <c r="BA85" s="1"/>
      <c r="BB85" s="1"/>
      <c r="BC85" s="1"/>
      <c r="BD85" s="1"/>
      <c r="BE85" s="1"/>
      <c r="BF85" s="1"/>
      <c r="BG85" s="1"/>
    </row>
  </sheetData>
  <autoFilter ref="A4:AY69">
    <filterColumn colId="8" showButton="0"/>
    <sortState ref="A6:AW69">
      <sortCondition ref="B4:B69"/>
    </sortState>
  </autoFilter>
  <mergeCells count="26">
    <mergeCell ref="Q3:S3"/>
    <mergeCell ref="T3:V3"/>
    <mergeCell ref="G3:H3"/>
    <mergeCell ref="AM3:AN3"/>
    <mergeCell ref="A3:A4"/>
    <mergeCell ref="B3:B4"/>
    <mergeCell ref="C3:C4"/>
    <mergeCell ref="D3:D4"/>
    <mergeCell ref="E3:E4"/>
    <mergeCell ref="F3:F4"/>
    <mergeCell ref="I3:J4"/>
    <mergeCell ref="K3:M3"/>
    <mergeCell ref="N3:P3"/>
    <mergeCell ref="BG3:BG4"/>
    <mergeCell ref="AS3:AT3"/>
    <mergeCell ref="AU3:AV3"/>
    <mergeCell ref="AW3:AX3"/>
    <mergeCell ref="W3:Y3"/>
    <mergeCell ref="Z3:AL3"/>
    <mergeCell ref="AO3:AP3"/>
    <mergeCell ref="AQ3:AR3"/>
    <mergeCell ref="AY3:AY4"/>
    <mergeCell ref="BA3:BA4"/>
    <mergeCell ref="BB3:BB4"/>
    <mergeCell ref="BD3:BD4"/>
    <mergeCell ref="BF3:BF4"/>
  </mergeCells>
  <conditionalFormatting sqref="BD1:BD2 BD70:BD65536 BD7:BD8">
    <cfRule type="cellIs" dxfId="82" priority="63" stopIfTrue="1" operator="greaterThan">
      <formula>0</formula>
    </cfRule>
  </conditionalFormatting>
  <conditionalFormatting sqref="BD1:BD4 BD70:BD65536 BD7:BD8">
    <cfRule type="cellIs" dxfId="81" priority="61" stopIfTrue="1" operator="equal">
      <formula>0</formula>
    </cfRule>
    <cfRule type="cellIs" dxfId="80" priority="62" stopIfTrue="1" operator="lessThan">
      <formula>0</formula>
    </cfRule>
  </conditionalFormatting>
  <conditionalFormatting sqref="BD9:BD12 BD32 BD14:BD17 BD19:BD24 BD26:BD28">
    <cfRule type="cellIs" dxfId="79" priority="60" stopIfTrue="1" operator="greaterThan">
      <formula>0</formula>
    </cfRule>
  </conditionalFormatting>
  <conditionalFormatting sqref="BD9:BD12 BD32 BD14:BD17 BD19:BD24 BD26:BD28">
    <cfRule type="cellIs" dxfId="78" priority="58" stopIfTrue="1" operator="equal">
      <formula>0</formula>
    </cfRule>
    <cfRule type="cellIs" dxfId="77" priority="59" stopIfTrue="1" operator="lessThan">
      <formula>0</formula>
    </cfRule>
  </conditionalFormatting>
  <conditionalFormatting sqref="BD9:BD12 BD32 BD14:BD17 BD19:BD24 BD26:BD28">
    <cfRule type="cellIs" dxfId="76" priority="57" stopIfTrue="1" operator="equal">
      <formula>0</formula>
    </cfRule>
  </conditionalFormatting>
  <conditionalFormatting sqref="BD9:BD12 BD32 BD14:BD17 BD19:BD24 BD26:BD28">
    <cfRule type="cellIs" dxfId="75" priority="56" stopIfTrue="1" operator="equal">
      <formula>0</formula>
    </cfRule>
  </conditionalFormatting>
  <conditionalFormatting sqref="BD13">
    <cfRule type="cellIs" dxfId="74" priority="50" stopIfTrue="1" operator="greaterThan">
      <formula>0</formula>
    </cfRule>
  </conditionalFormatting>
  <conditionalFormatting sqref="BD13">
    <cfRule type="cellIs" dxfId="73" priority="48" stopIfTrue="1" operator="equal">
      <formula>0</formula>
    </cfRule>
    <cfRule type="cellIs" dxfId="72" priority="49" stopIfTrue="1" operator="lessThan">
      <formula>0</formula>
    </cfRule>
  </conditionalFormatting>
  <conditionalFormatting sqref="BD13">
    <cfRule type="cellIs" dxfId="71" priority="47" stopIfTrue="1" operator="equal">
      <formula>0</formula>
    </cfRule>
  </conditionalFormatting>
  <conditionalFormatting sqref="BD13">
    <cfRule type="cellIs" dxfId="70" priority="46" stopIfTrue="1" operator="equal">
      <formula>0</formula>
    </cfRule>
  </conditionalFormatting>
  <conditionalFormatting sqref="BD18">
    <cfRule type="cellIs" dxfId="69" priority="40" stopIfTrue="1" operator="greaterThan">
      <formula>0</formula>
    </cfRule>
  </conditionalFormatting>
  <conditionalFormatting sqref="BD18">
    <cfRule type="cellIs" dxfId="68" priority="38" stopIfTrue="1" operator="equal">
      <formula>0</formula>
    </cfRule>
    <cfRule type="cellIs" dxfId="67" priority="39" stopIfTrue="1" operator="lessThan">
      <formula>0</formula>
    </cfRule>
  </conditionalFormatting>
  <conditionalFormatting sqref="BD18">
    <cfRule type="cellIs" dxfId="66" priority="37" stopIfTrue="1" operator="equal">
      <formula>0</formula>
    </cfRule>
  </conditionalFormatting>
  <conditionalFormatting sqref="BD18">
    <cfRule type="cellIs" dxfId="65" priority="36" stopIfTrue="1" operator="equal">
      <formula>0</formula>
    </cfRule>
  </conditionalFormatting>
  <conditionalFormatting sqref="BD5:BD6">
    <cfRule type="cellIs" dxfId="64" priority="35" stopIfTrue="1" operator="greaterThan">
      <formula>0</formula>
    </cfRule>
  </conditionalFormatting>
  <conditionalFormatting sqref="BD5:BD6">
    <cfRule type="cellIs" dxfId="63" priority="33" stopIfTrue="1" operator="equal">
      <formula>0</formula>
    </cfRule>
    <cfRule type="cellIs" dxfId="62" priority="34" stopIfTrue="1" operator="lessThan">
      <formula>0</formula>
    </cfRule>
  </conditionalFormatting>
  <conditionalFormatting sqref="BD5:BD6">
    <cfRule type="cellIs" dxfId="61" priority="32" stopIfTrue="1" operator="equal">
      <formula>0</formula>
    </cfRule>
  </conditionalFormatting>
  <conditionalFormatting sqref="BD5:BD6">
    <cfRule type="cellIs" dxfId="60" priority="31" stopIfTrue="1" operator="equal">
      <formula>0</formula>
    </cfRule>
  </conditionalFormatting>
  <conditionalFormatting sqref="BD25">
    <cfRule type="cellIs" dxfId="59" priority="20" stopIfTrue="1" operator="greaterThan">
      <formula>0</formula>
    </cfRule>
  </conditionalFormatting>
  <conditionalFormatting sqref="BD25">
    <cfRule type="cellIs" dxfId="58" priority="18" stopIfTrue="1" operator="equal">
      <formula>0</formula>
    </cfRule>
    <cfRule type="cellIs" dxfId="57" priority="19" stopIfTrue="1" operator="lessThan">
      <formula>0</formula>
    </cfRule>
  </conditionalFormatting>
  <conditionalFormatting sqref="BD25">
    <cfRule type="cellIs" dxfId="56" priority="17" stopIfTrue="1" operator="equal">
      <formula>0</formula>
    </cfRule>
  </conditionalFormatting>
  <conditionalFormatting sqref="BD25">
    <cfRule type="cellIs" dxfId="55" priority="16" stopIfTrue="1" operator="equal">
      <formula>0</formula>
    </cfRule>
  </conditionalFormatting>
  <conditionalFormatting sqref="BD29">
    <cfRule type="cellIs" dxfId="54" priority="15" stopIfTrue="1" operator="greaterThan">
      <formula>0</formula>
    </cfRule>
  </conditionalFormatting>
  <conditionalFormatting sqref="BD29">
    <cfRule type="cellIs" dxfId="53" priority="13" stopIfTrue="1" operator="equal">
      <formula>0</formula>
    </cfRule>
    <cfRule type="cellIs" dxfId="52" priority="14" stopIfTrue="1" operator="lessThan">
      <formula>0</formula>
    </cfRule>
  </conditionalFormatting>
  <conditionalFormatting sqref="BD29">
    <cfRule type="cellIs" dxfId="51" priority="12" stopIfTrue="1" operator="equal">
      <formula>0</formula>
    </cfRule>
  </conditionalFormatting>
  <conditionalFormatting sqref="BD29">
    <cfRule type="cellIs" dxfId="50" priority="11" stopIfTrue="1" operator="equal">
      <formula>0</formula>
    </cfRule>
  </conditionalFormatting>
  <conditionalFormatting sqref="BD33:BD69">
    <cfRule type="cellIs" dxfId="49" priority="10" stopIfTrue="1" operator="greaterThan">
      <formula>0</formula>
    </cfRule>
  </conditionalFormatting>
  <conditionalFormatting sqref="BD33:BD69">
    <cfRule type="cellIs" dxfId="48" priority="8" stopIfTrue="1" operator="equal">
      <formula>0</formula>
    </cfRule>
    <cfRule type="cellIs" dxfId="47" priority="9" stopIfTrue="1" operator="lessThan">
      <formula>0</formula>
    </cfRule>
  </conditionalFormatting>
  <conditionalFormatting sqref="BD33:BD69">
    <cfRule type="cellIs" dxfId="46" priority="7" stopIfTrue="1" operator="equal">
      <formula>0</formula>
    </cfRule>
  </conditionalFormatting>
  <conditionalFormatting sqref="BD33:BD69">
    <cfRule type="cellIs" dxfId="45" priority="6" stopIfTrue="1" operator="equal">
      <formula>0</formula>
    </cfRule>
  </conditionalFormatting>
  <conditionalFormatting sqref="BD30:BD31">
    <cfRule type="cellIs" dxfId="44" priority="5" stopIfTrue="1" operator="greaterThan">
      <formula>0</formula>
    </cfRule>
  </conditionalFormatting>
  <conditionalFormatting sqref="BD30:BD31">
    <cfRule type="cellIs" dxfId="43" priority="3" stopIfTrue="1" operator="equal">
      <formula>0</formula>
    </cfRule>
    <cfRule type="cellIs" dxfId="42" priority="4" stopIfTrue="1" operator="lessThan">
      <formula>0</formula>
    </cfRule>
  </conditionalFormatting>
  <conditionalFormatting sqref="BD30:BD31">
    <cfRule type="cellIs" dxfId="41" priority="2" stopIfTrue="1" operator="equal">
      <formula>0</formula>
    </cfRule>
  </conditionalFormatting>
  <conditionalFormatting sqref="BD30:BD31">
    <cfRule type="cellIs" dxfId="40" priority="1" stopIfTrue="1" operator="equal">
      <formula>0</formula>
    </cfRule>
  </conditionalFormatting>
  <pageMargins left="0.25" right="0.25" top="0.75" bottom="0.75" header="0.3" footer="0.3"/>
  <pageSetup paperSize="9" scale="2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G28"/>
  <sheetViews>
    <sheetView showGridLines="0" zoomScale="82" zoomScaleNormal="82" workbookViewId="0">
      <pane xSplit="4" ySplit="4" topLeftCell="F5" activePane="bottomRight" state="frozen"/>
      <selection activeCell="H3" sqref="H3"/>
      <selection pane="topRight" activeCell="H3" sqref="H3"/>
      <selection pane="bottomLeft" activeCell="H3" sqref="H3"/>
      <selection pane="bottomRight" activeCell="H3" sqref="H3:I3"/>
    </sheetView>
  </sheetViews>
  <sheetFormatPr defaultColWidth="11.42578125" defaultRowHeight="12.75" outlineLevelCol="1"/>
  <cols>
    <col min="1" max="1" width="2.5703125" style="1" customWidth="1"/>
    <col min="2" max="2" width="29" style="1" bestFit="1" customWidth="1"/>
    <col min="3" max="3" width="29" style="1" customWidth="1"/>
    <col min="4" max="4" width="40.28515625" style="1" bestFit="1" customWidth="1"/>
    <col min="5" max="5" width="18.42578125" style="1" bestFit="1" customWidth="1"/>
    <col min="6" max="6" width="18.42578125" style="1" customWidth="1"/>
    <col min="7" max="7" width="52.7109375" style="5" bestFit="1" customWidth="1"/>
    <col min="8" max="8" width="14.28515625" style="9" bestFit="1" customWidth="1"/>
    <col min="9" max="9" width="19.85546875" style="9" customWidth="1"/>
    <col min="10" max="10" width="29.28515625" style="12" bestFit="1" customWidth="1"/>
    <col min="11" max="12" width="21.7109375" style="12" customWidth="1"/>
    <col min="13" max="13" width="23.28515625" style="12" customWidth="1"/>
    <col min="14" max="15" width="22" style="12" customWidth="1"/>
    <col min="16" max="16" width="23.28515625" style="12" customWidth="1"/>
    <col min="17" max="18" width="21.7109375" style="12" customWidth="1"/>
    <col min="19" max="19" width="23.28515625" style="12" customWidth="1"/>
    <col min="20" max="21" width="22.28515625" style="12" customWidth="1"/>
    <col min="22" max="22" width="23.28515625" style="12" customWidth="1"/>
    <col min="23" max="24" width="23.42578125" style="12" customWidth="1"/>
    <col min="25" max="25" width="23.28515625" style="12" customWidth="1"/>
    <col min="26" max="26" width="7.5703125" style="12" bestFit="1" customWidth="1"/>
    <col min="27" max="27" width="10.28515625" style="12" bestFit="1" customWidth="1"/>
    <col min="28" max="30" width="10.28515625" style="12" hidden="1" customWidth="1"/>
    <col min="31" max="31" width="10.28515625" style="12" bestFit="1" customWidth="1"/>
    <col min="32" max="32" width="10.140625" style="12" hidden="1" customWidth="1"/>
    <col min="33" max="33" width="9.85546875" style="12" hidden="1" customWidth="1"/>
    <col min="34" max="34" width="6.85546875" style="12" hidden="1" customWidth="1"/>
    <col min="35" max="37" width="11" style="12" bestFit="1" customWidth="1"/>
    <col min="38" max="38" width="9.28515625" style="12" bestFit="1" customWidth="1"/>
    <col min="39" max="42" width="16.140625" style="1" customWidth="1"/>
    <col min="43" max="48" width="16.140625" style="1" customWidth="1" outlineLevel="1"/>
    <col min="49" max="50" width="16.140625" style="1" customWidth="1"/>
    <col min="51" max="51" width="21.85546875" style="1" customWidth="1"/>
    <col min="52" max="52" width="11.42578125" style="1" customWidth="1"/>
    <col min="53" max="54" width="21.85546875" style="1" customWidth="1"/>
    <col min="55" max="55" width="1.85546875" style="1" customWidth="1"/>
    <col min="56" max="56" width="21.85546875" style="1" customWidth="1"/>
    <col min="57" max="57" width="2.85546875" style="1" customWidth="1"/>
    <col min="58" max="59" width="45.7109375" style="1" customWidth="1"/>
    <col min="60" max="16384" width="11.42578125" style="1"/>
  </cols>
  <sheetData>
    <row r="1" spans="1:59" s="2" customFormat="1">
      <c r="H1" s="7"/>
      <c r="I1" s="7"/>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59" s="2" customFormat="1" ht="13.5" thickBot="1">
      <c r="D2" s="4"/>
      <c r="H2" s="7"/>
      <c r="I2" s="7"/>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59" s="2" customFormat="1" ht="15.75" customHeight="1" thickBot="1">
      <c r="A3" s="302" t="s">
        <v>292</v>
      </c>
      <c r="B3" s="309" t="s">
        <v>74</v>
      </c>
      <c r="C3" s="309" t="s">
        <v>1281</v>
      </c>
      <c r="D3" s="309" t="s">
        <v>75</v>
      </c>
      <c r="E3" s="306" t="s">
        <v>195</v>
      </c>
      <c r="F3" s="306" t="s">
        <v>215</v>
      </c>
      <c r="G3" s="307" t="s">
        <v>216</v>
      </c>
      <c r="H3" s="307" t="s">
        <v>1142</v>
      </c>
      <c r="I3" s="307"/>
      <c r="J3" s="313" t="s">
        <v>196</v>
      </c>
      <c r="K3" s="297">
        <v>2014</v>
      </c>
      <c r="L3" s="298"/>
      <c r="M3" s="299"/>
      <c r="N3" s="297">
        <v>2015</v>
      </c>
      <c r="O3" s="298"/>
      <c r="P3" s="299"/>
      <c r="Q3" s="297">
        <v>2016</v>
      </c>
      <c r="R3" s="298"/>
      <c r="S3" s="299"/>
      <c r="T3" s="297">
        <v>2017</v>
      </c>
      <c r="U3" s="298"/>
      <c r="V3" s="299"/>
      <c r="W3" s="297">
        <v>2018</v>
      </c>
      <c r="X3" s="298"/>
      <c r="Y3" s="299"/>
      <c r="Z3" s="306" t="s">
        <v>1189</v>
      </c>
      <c r="AA3" s="307"/>
      <c r="AB3" s="307"/>
      <c r="AC3" s="307"/>
      <c r="AD3" s="307"/>
      <c r="AE3" s="307"/>
      <c r="AF3" s="307"/>
      <c r="AG3" s="307"/>
      <c r="AH3" s="307"/>
      <c r="AI3" s="307"/>
      <c r="AJ3" s="307"/>
      <c r="AK3" s="307"/>
      <c r="AL3" s="302"/>
      <c r="AM3" s="306" t="s">
        <v>1127</v>
      </c>
      <c r="AN3" s="302"/>
      <c r="AO3" s="306" t="s">
        <v>1128</v>
      </c>
      <c r="AP3" s="302"/>
      <c r="AQ3" s="308" t="s">
        <v>283</v>
      </c>
      <c r="AR3" s="305"/>
      <c r="AS3" s="304" t="s">
        <v>282</v>
      </c>
      <c r="AT3" s="305"/>
      <c r="AU3" s="304" t="s">
        <v>281</v>
      </c>
      <c r="AV3" s="305"/>
      <c r="AW3" s="306" t="s">
        <v>1134</v>
      </c>
      <c r="AX3" s="302"/>
      <c r="AY3" s="302" t="s">
        <v>289</v>
      </c>
      <c r="BA3" s="302" t="s">
        <v>1057</v>
      </c>
      <c r="BB3" s="302" t="s">
        <v>1135</v>
      </c>
      <c r="BD3" s="302" t="s">
        <v>1125</v>
      </c>
      <c r="BF3" s="302" t="s">
        <v>1131</v>
      </c>
      <c r="BG3" s="302" t="s">
        <v>1154</v>
      </c>
    </row>
    <row r="4" spans="1:59" s="14" customFormat="1" ht="29.25" customHeight="1" thickBot="1">
      <c r="A4" s="303"/>
      <c r="B4" s="310"/>
      <c r="C4" s="310"/>
      <c r="D4" s="310"/>
      <c r="E4" s="311"/>
      <c r="F4" s="311"/>
      <c r="G4" s="312"/>
      <c r="H4" s="175" t="s">
        <v>1141</v>
      </c>
      <c r="I4" s="175" t="s">
        <v>1146</v>
      </c>
      <c r="J4" s="314"/>
      <c r="K4" s="21" t="s">
        <v>197</v>
      </c>
      <c r="L4" s="22" t="s">
        <v>198</v>
      </c>
      <c r="M4" s="23" t="s">
        <v>199</v>
      </c>
      <c r="N4" s="21" t="s">
        <v>197</v>
      </c>
      <c r="O4" s="22" t="s">
        <v>198</v>
      </c>
      <c r="P4" s="23" t="s">
        <v>199</v>
      </c>
      <c r="Q4" s="21" t="s">
        <v>197</v>
      </c>
      <c r="R4" s="22" t="s">
        <v>198</v>
      </c>
      <c r="S4" s="23" t="s">
        <v>199</v>
      </c>
      <c r="T4" s="21" t="s">
        <v>197</v>
      </c>
      <c r="U4" s="22" t="s">
        <v>198</v>
      </c>
      <c r="V4" s="23" t="s">
        <v>199</v>
      </c>
      <c r="W4" s="21" t="s">
        <v>197</v>
      </c>
      <c r="X4" s="22" t="s">
        <v>198</v>
      </c>
      <c r="Y4" s="23" t="s">
        <v>199</v>
      </c>
      <c r="Z4" s="41" t="s">
        <v>272</v>
      </c>
      <c r="AA4" s="42" t="s">
        <v>273</v>
      </c>
      <c r="AB4" s="44" t="s">
        <v>278</v>
      </c>
      <c r="AC4" s="44" t="s">
        <v>279</v>
      </c>
      <c r="AD4" s="44" t="s">
        <v>277</v>
      </c>
      <c r="AE4" s="42" t="s">
        <v>274</v>
      </c>
      <c r="AF4" s="44" t="s">
        <v>278</v>
      </c>
      <c r="AG4" s="44" t="s">
        <v>279</v>
      </c>
      <c r="AH4" s="44" t="s">
        <v>277</v>
      </c>
      <c r="AI4" s="42" t="s">
        <v>1140</v>
      </c>
      <c r="AJ4" s="42" t="s">
        <v>275</v>
      </c>
      <c r="AK4" s="42" t="s">
        <v>276</v>
      </c>
      <c r="AL4" s="43" t="s">
        <v>280</v>
      </c>
      <c r="AM4" s="41" t="s">
        <v>284</v>
      </c>
      <c r="AN4" s="43" t="s">
        <v>288</v>
      </c>
      <c r="AO4" s="41" t="s">
        <v>284</v>
      </c>
      <c r="AP4" s="43" t="s">
        <v>288</v>
      </c>
      <c r="AQ4" s="48" t="s">
        <v>284</v>
      </c>
      <c r="AR4" s="45" t="s">
        <v>220</v>
      </c>
      <c r="AS4" s="45" t="s">
        <v>284</v>
      </c>
      <c r="AT4" s="45" t="s">
        <v>220</v>
      </c>
      <c r="AU4" s="45" t="s">
        <v>284</v>
      </c>
      <c r="AV4" s="47" t="s">
        <v>220</v>
      </c>
      <c r="AW4" s="41" t="s">
        <v>284</v>
      </c>
      <c r="AX4" s="43" t="s">
        <v>288</v>
      </c>
      <c r="AY4" s="303"/>
      <c r="BA4" s="303"/>
      <c r="BB4" s="303"/>
      <c r="BD4" s="303"/>
      <c r="BF4" s="303"/>
      <c r="BG4" s="303"/>
    </row>
    <row r="5" spans="1:59" ht="12.75" customHeight="1">
      <c r="A5" s="55"/>
      <c r="B5" s="15" t="s">
        <v>154</v>
      </c>
      <c r="C5" s="15"/>
      <c r="D5" s="24" t="s">
        <v>192</v>
      </c>
      <c r="E5" s="27"/>
      <c r="F5" s="27"/>
      <c r="G5" s="15"/>
      <c r="H5" s="8" t="s">
        <v>220</v>
      </c>
      <c r="I5" s="174"/>
      <c r="J5" s="19"/>
      <c r="K5" s="19"/>
      <c r="L5" s="19"/>
      <c r="M5" s="19"/>
      <c r="N5" s="19"/>
      <c r="O5" s="19"/>
      <c r="P5" s="19"/>
      <c r="Q5" s="19"/>
      <c r="R5" s="19"/>
      <c r="S5" s="19"/>
      <c r="T5" s="19"/>
      <c r="U5" s="19"/>
      <c r="V5" s="19"/>
      <c r="W5" s="19"/>
      <c r="X5" s="19"/>
      <c r="Y5" s="19"/>
      <c r="Z5" s="49"/>
      <c r="AA5" s="50"/>
      <c r="AB5" s="50"/>
      <c r="AC5" s="50"/>
      <c r="AD5" s="50"/>
      <c r="AE5" s="50"/>
      <c r="AF5" s="50"/>
      <c r="AG5" s="50"/>
      <c r="AH5" s="50"/>
      <c r="AI5" s="50"/>
      <c r="AJ5" s="50"/>
      <c r="AK5" s="50"/>
      <c r="AL5" s="51"/>
      <c r="AM5" s="52"/>
      <c r="AN5" s="53"/>
      <c r="AO5" s="52"/>
      <c r="AP5" s="53"/>
      <c r="AQ5" s="54"/>
      <c r="AR5" s="54"/>
      <c r="AS5" s="54"/>
      <c r="AT5" s="54"/>
      <c r="AU5" s="54"/>
      <c r="AV5" s="54"/>
      <c r="AW5" s="52"/>
      <c r="AX5" s="53"/>
      <c r="AY5" s="55"/>
      <c r="BA5" s="141"/>
      <c r="BB5" s="141"/>
      <c r="BD5" s="141"/>
      <c r="BE5" s="143"/>
      <c r="BF5" s="141"/>
      <c r="BG5" s="141"/>
    </row>
    <row r="6" spans="1:59" ht="12.75" customHeight="1">
      <c r="A6" s="62"/>
      <c r="B6" s="6" t="s">
        <v>200</v>
      </c>
      <c r="C6" s="218"/>
      <c r="D6" s="25" t="s">
        <v>192</v>
      </c>
      <c r="E6" s="16"/>
      <c r="F6" s="16"/>
      <c r="G6" s="6"/>
      <c r="H6" s="8" t="s">
        <v>220</v>
      </c>
      <c r="I6" s="8"/>
      <c r="J6" s="11"/>
      <c r="K6" s="11"/>
      <c r="L6" s="11"/>
      <c r="M6" s="11"/>
      <c r="N6" s="11"/>
      <c r="O6" s="11"/>
      <c r="P6" s="11"/>
      <c r="Q6" s="11"/>
      <c r="R6" s="11"/>
      <c r="S6" s="11"/>
      <c r="T6" s="11"/>
      <c r="U6" s="11"/>
      <c r="V6" s="11"/>
      <c r="W6" s="11"/>
      <c r="X6" s="11"/>
      <c r="Y6" s="11"/>
      <c r="Z6" s="56"/>
      <c r="AA6" s="57"/>
      <c r="AB6" s="57"/>
      <c r="AC6" s="57"/>
      <c r="AD6" s="57"/>
      <c r="AE6" s="57"/>
      <c r="AF6" s="57"/>
      <c r="AG6" s="57"/>
      <c r="AH6" s="57"/>
      <c r="AI6" s="57"/>
      <c r="AJ6" s="57"/>
      <c r="AK6" s="57"/>
      <c r="AL6" s="58"/>
      <c r="AM6" s="59"/>
      <c r="AN6" s="60"/>
      <c r="AO6" s="59"/>
      <c r="AP6" s="60"/>
      <c r="AQ6" s="61"/>
      <c r="AR6" s="61"/>
      <c r="AS6" s="61"/>
      <c r="AT6" s="61"/>
      <c r="AU6" s="61"/>
      <c r="AV6" s="61"/>
      <c r="AW6" s="59"/>
      <c r="AX6" s="60"/>
      <c r="AY6" s="62"/>
      <c r="BA6" s="141"/>
      <c r="BB6" s="141"/>
      <c r="BD6" s="141"/>
      <c r="BE6" s="143"/>
      <c r="BF6" s="141"/>
      <c r="BG6" s="141"/>
    </row>
    <row r="7" spans="1:59" ht="12.75" customHeight="1">
      <c r="A7" s="62"/>
      <c r="B7" s="6" t="s">
        <v>143</v>
      </c>
      <c r="C7" s="218"/>
      <c r="D7" s="25" t="s">
        <v>192</v>
      </c>
      <c r="E7" s="16"/>
      <c r="F7" s="16"/>
      <c r="G7" s="6"/>
      <c r="H7" s="8" t="s">
        <v>220</v>
      </c>
      <c r="I7" s="8"/>
      <c r="J7" s="11"/>
      <c r="K7" s="11"/>
      <c r="L7" s="11"/>
      <c r="M7" s="11"/>
      <c r="N7" s="11"/>
      <c r="O7" s="11"/>
      <c r="P7" s="11"/>
      <c r="Q7" s="11"/>
      <c r="R7" s="11"/>
      <c r="S7" s="11"/>
      <c r="T7" s="11"/>
      <c r="U7" s="11"/>
      <c r="V7" s="11"/>
      <c r="W7" s="11"/>
      <c r="X7" s="11"/>
      <c r="Y7" s="11"/>
      <c r="Z7" s="56"/>
      <c r="AA7" s="57"/>
      <c r="AB7" s="57"/>
      <c r="AC7" s="57"/>
      <c r="AD7" s="57"/>
      <c r="AE7" s="57"/>
      <c r="AF7" s="57"/>
      <c r="AG7" s="57"/>
      <c r="AH7" s="57"/>
      <c r="AI7" s="57"/>
      <c r="AJ7" s="57"/>
      <c r="AK7" s="57"/>
      <c r="AL7" s="58"/>
      <c r="AM7" s="59"/>
      <c r="AN7" s="60"/>
      <c r="AO7" s="59"/>
      <c r="AP7" s="60"/>
      <c r="AQ7" s="61"/>
      <c r="AR7" s="61"/>
      <c r="AS7" s="61"/>
      <c r="AT7" s="61"/>
      <c r="AU7" s="61"/>
      <c r="AV7" s="61"/>
      <c r="AW7" s="59"/>
      <c r="AX7" s="60"/>
      <c r="AY7" s="62"/>
      <c r="BA7" s="141"/>
      <c r="BB7" s="141"/>
      <c r="BC7" s="143"/>
      <c r="BD7" s="141"/>
      <c r="BE7" s="143"/>
      <c r="BF7" s="141"/>
      <c r="BG7" s="141"/>
    </row>
    <row r="8" spans="1:59" ht="25.5">
      <c r="A8" s="62"/>
      <c r="B8" s="6" t="s">
        <v>151</v>
      </c>
      <c r="C8" s="218"/>
      <c r="D8" s="37" t="s">
        <v>192</v>
      </c>
      <c r="E8" s="16"/>
      <c r="F8" s="16"/>
      <c r="G8" s="6"/>
      <c r="H8" s="8" t="s">
        <v>218</v>
      </c>
      <c r="I8" s="8" t="s">
        <v>1145</v>
      </c>
      <c r="J8" s="11" t="s">
        <v>238</v>
      </c>
      <c r="K8" s="198">
        <f>AP8</f>
        <v>1963984</v>
      </c>
      <c r="L8" s="11">
        <f>L11*0.777836</f>
        <v>0</v>
      </c>
      <c r="M8" s="11" t="s">
        <v>1205</v>
      </c>
      <c r="N8" s="8" t="s">
        <v>217</v>
      </c>
      <c r="O8" s="11"/>
      <c r="P8" s="11" t="s">
        <v>1205</v>
      </c>
      <c r="Q8" s="8" t="s">
        <v>217</v>
      </c>
      <c r="R8" s="11"/>
      <c r="S8" s="11" t="s">
        <v>1205</v>
      </c>
      <c r="T8" s="8" t="s">
        <v>217</v>
      </c>
      <c r="U8" s="11"/>
      <c r="V8" s="11" t="s">
        <v>1205</v>
      </c>
      <c r="W8" s="8" t="s">
        <v>217</v>
      </c>
      <c r="X8" s="11"/>
      <c r="Y8" s="11" t="s">
        <v>1205</v>
      </c>
      <c r="Z8" s="63">
        <v>0.1</v>
      </c>
      <c r="AA8" s="104">
        <v>6051813</v>
      </c>
      <c r="AB8" s="106"/>
      <c r="AC8" s="106"/>
      <c r="AD8" s="106"/>
      <c r="AE8" s="104">
        <v>2306768</v>
      </c>
      <c r="AF8" s="57"/>
      <c r="AG8" s="57"/>
      <c r="AH8" s="57"/>
      <c r="AI8" s="170">
        <f>+AE8-AN8-4%*AA8</f>
        <v>100711.47999999998</v>
      </c>
      <c r="AJ8" s="170"/>
      <c r="AK8" s="64">
        <f>+AI8*Z8</f>
        <v>10071.147999999999</v>
      </c>
      <c r="AL8" s="58"/>
      <c r="AM8" s="78">
        <f>AK8</f>
        <v>10071.147999999999</v>
      </c>
      <c r="AN8" s="78">
        <f>K8</f>
        <v>1963984</v>
      </c>
      <c r="AO8" s="67">
        <v>4976</v>
      </c>
      <c r="AP8" s="68">
        <v>1963984</v>
      </c>
      <c r="AQ8" s="67"/>
      <c r="AR8" s="64">
        <v>1111128</v>
      </c>
      <c r="AS8" s="64"/>
      <c r="AT8" s="64">
        <v>1134359</v>
      </c>
      <c r="AU8" s="64">
        <f>AO8</f>
        <v>4976</v>
      </c>
      <c r="AV8" s="68">
        <f>AP8</f>
        <v>1963984</v>
      </c>
      <c r="AW8" s="67">
        <f>AU8-AS8+AQ8</f>
        <v>4976</v>
      </c>
      <c r="AX8" s="68">
        <f>AV8-AT8+AR8</f>
        <v>1940753</v>
      </c>
      <c r="AY8" s="62"/>
      <c r="BA8" s="141"/>
      <c r="BB8" s="141">
        <f>(AM8+AN8)</f>
        <v>1974055.148</v>
      </c>
      <c r="BD8" s="141">
        <f>+(AP8+AO8)-BB8</f>
        <v>-5095.1480000000447</v>
      </c>
      <c r="BF8" s="141"/>
      <c r="BG8" s="141"/>
    </row>
    <row r="9" spans="1:59" ht="12.75" customHeight="1">
      <c r="A9" s="62"/>
      <c r="B9" s="6" t="s">
        <v>202</v>
      </c>
      <c r="C9" s="218"/>
      <c r="D9" s="25" t="s">
        <v>192</v>
      </c>
      <c r="E9" s="16"/>
      <c r="F9" s="16"/>
      <c r="G9" s="6"/>
      <c r="H9" s="8" t="s">
        <v>220</v>
      </c>
      <c r="I9" s="8"/>
      <c r="J9" s="11"/>
      <c r="K9" s="11"/>
      <c r="L9" s="11"/>
      <c r="M9" s="11"/>
      <c r="N9" s="11"/>
      <c r="O9" s="11"/>
      <c r="P9" s="11"/>
      <c r="Q9" s="11"/>
      <c r="R9" s="11"/>
      <c r="S9" s="11"/>
      <c r="T9" s="11"/>
      <c r="U9" s="11"/>
      <c r="V9" s="11"/>
      <c r="W9" s="11"/>
      <c r="X9" s="11"/>
      <c r="Y9" s="11"/>
      <c r="Z9" s="56"/>
      <c r="AA9" s="57"/>
      <c r="AB9" s="57"/>
      <c r="AC9" s="57"/>
      <c r="AD9" s="57"/>
      <c r="AE9" s="57"/>
      <c r="AF9" s="57"/>
      <c r="AG9" s="57"/>
      <c r="AH9" s="57"/>
      <c r="AI9" s="57"/>
      <c r="AJ9" s="57"/>
      <c r="AK9" s="57"/>
      <c r="AL9" s="58"/>
      <c r="AM9" s="59"/>
      <c r="AN9" s="78"/>
      <c r="AO9" s="59"/>
      <c r="AP9" s="60"/>
      <c r="AQ9" s="61"/>
      <c r="AR9" s="61"/>
      <c r="AS9" s="61"/>
      <c r="AT9" s="61"/>
      <c r="AU9" s="61"/>
      <c r="AV9" s="61"/>
      <c r="AW9" s="59"/>
      <c r="AX9" s="60"/>
      <c r="AY9" s="62"/>
      <c r="BA9" s="141"/>
      <c r="BB9" s="141"/>
      <c r="BC9" s="143"/>
      <c r="BD9" s="141"/>
      <c r="BE9" s="143"/>
      <c r="BF9" s="141"/>
      <c r="BG9" s="141"/>
    </row>
    <row r="10" spans="1:59" ht="12.75" customHeight="1">
      <c r="A10" s="62"/>
      <c r="B10" s="6" t="s">
        <v>150</v>
      </c>
      <c r="C10" s="218"/>
      <c r="D10" s="25" t="s">
        <v>192</v>
      </c>
      <c r="E10" s="16"/>
      <c r="F10" s="16"/>
      <c r="G10" s="6"/>
      <c r="H10" s="8" t="s">
        <v>220</v>
      </c>
      <c r="I10" s="8"/>
      <c r="J10" s="11"/>
      <c r="K10" s="11"/>
      <c r="L10" s="11"/>
      <c r="M10" s="11"/>
      <c r="N10" s="11"/>
      <c r="O10" s="11"/>
      <c r="P10" s="11"/>
      <c r="Q10" s="11"/>
      <c r="R10" s="11"/>
      <c r="S10" s="11"/>
      <c r="T10" s="11"/>
      <c r="U10" s="11"/>
      <c r="V10" s="11"/>
      <c r="W10" s="11"/>
      <c r="X10" s="11"/>
      <c r="Y10" s="11"/>
      <c r="Z10" s="56"/>
      <c r="AA10" s="57"/>
      <c r="AB10" s="57"/>
      <c r="AC10" s="57"/>
      <c r="AD10" s="57"/>
      <c r="AE10" s="57"/>
      <c r="AF10" s="57"/>
      <c r="AG10" s="57"/>
      <c r="AH10" s="57"/>
      <c r="AI10" s="57"/>
      <c r="AJ10" s="57"/>
      <c r="AK10" s="57"/>
      <c r="AL10" s="58"/>
      <c r="AM10" s="59"/>
      <c r="AN10" s="78"/>
      <c r="AO10" s="59"/>
      <c r="AP10" s="60"/>
      <c r="AQ10" s="61"/>
      <c r="AR10" s="61"/>
      <c r="AS10" s="61"/>
      <c r="AT10" s="61"/>
      <c r="AU10" s="61"/>
      <c r="AV10" s="61"/>
      <c r="AW10" s="59"/>
      <c r="AX10" s="60"/>
      <c r="AY10" s="62"/>
      <c r="BA10" s="141"/>
      <c r="BB10" s="141"/>
      <c r="BC10" s="143"/>
      <c r="BD10" s="141"/>
      <c r="BE10" s="143"/>
      <c r="BF10" s="141"/>
      <c r="BG10" s="141"/>
    </row>
    <row r="11" spans="1:59" s="36" customFormat="1" ht="38.25">
      <c r="A11" s="71"/>
      <c r="B11" s="46" t="s">
        <v>142</v>
      </c>
      <c r="C11" s="46"/>
      <c r="D11" s="32" t="s">
        <v>192</v>
      </c>
      <c r="E11" s="33"/>
      <c r="F11" s="33"/>
      <c r="G11" s="46" t="s">
        <v>1206</v>
      </c>
      <c r="H11" s="34" t="s">
        <v>218</v>
      </c>
      <c r="I11" s="34" t="s">
        <v>1204</v>
      </c>
      <c r="J11" s="35" t="s">
        <v>238</v>
      </c>
      <c r="K11" s="199">
        <f>AP11</f>
        <v>1376988</v>
      </c>
      <c r="L11" s="213"/>
      <c r="M11" s="200" t="s">
        <v>1207</v>
      </c>
      <c r="N11" s="34" t="s">
        <v>217</v>
      </c>
      <c r="O11" s="35"/>
      <c r="P11" s="200" t="s">
        <v>1207</v>
      </c>
      <c r="Q11" s="34" t="s">
        <v>217</v>
      </c>
      <c r="R11" s="35"/>
      <c r="S11" s="200" t="s">
        <v>1207</v>
      </c>
      <c r="T11" s="34" t="s">
        <v>217</v>
      </c>
      <c r="U11" s="35"/>
      <c r="V11" s="200" t="s">
        <v>1207</v>
      </c>
      <c r="W11" s="34" t="s">
        <v>217</v>
      </c>
      <c r="X11" s="35"/>
      <c r="Y11" s="200" t="s">
        <v>1207</v>
      </c>
      <c r="Z11" s="201">
        <v>0.25</v>
      </c>
      <c r="AA11" s="105">
        <v>8627142</v>
      </c>
      <c r="AB11" s="202"/>
      <c r="AC11" s="202"/>
      <c r="AD11" s="202"/>
      <c r="AE11" s="105">
        <v>5275180</v>
      </c>
      <c r="AF11" s="69"/>
      <c r="AG11" s="69"/>
      <c r="AH11" s="69"/>
      <c r="AI11" s="203">
        <f>+AE11-AN11-4%*AA11-40245</f>
        <v>3512861.32</v>
      </c>
      <c r="AJ11" s="203">
        <v>3432133</v>
      </c>
      <c r="AK11" s="204">
        <f>Z11*AI11</f>
        <v>878215.33</v>
      </c>
      <c r="AL11" s="70"/>
      <c r="AM11" s="205">
        <f>AK11</f>
        <v>878215.33</v>
      </c>
      <c r="AN11" s="205">
        <f>K11</f>
        <v>1376988</v>
      </c>
      <c r="AO11" s="206">
        <v>521866</v>
      </c>
      <c r="AP11" s="207">
        <v>1376988</v>
      </c>
      <c r="AQ11" s="206">
        <v>326458</v>
      </c>
      <c r="AR11" s="204">
        <v>800983</v>
      </c>
      <c r="AS11" s="204">
        <v>271989</v>
      </c>
      <c r="AT11" s="204">
        <v>803243</v>
      </c>
      <c r="AU11" s="204">
        <f>AO11</f>
        <v>521866</v>
      </c>
      <c r="AV11" s="207">
        <f>AP11</f>
        <v>1376988</v>
      </c>
      <c r="AW11" s="206">
        <f>AU11-AS11+AQ11</f>
        <v>576335</v>
      </c>
      <c r="AX11" s="207">
        <f>AV11-AT11+AR11</f>
        <v>1374728</v>
      </c>
      <c r="AY11" s="71"/>
      <c r="BA11" s="196"/>
      <c r="BB11" s="196">
        <f>(AM11+AN11)</f>
        <v>2255203.33</v>
      </c>
      <c r="BD11" s="196">
        <f>+(AP11+AO11)-BB11</f>
        <v>-356349.33000000007</v>
      </c>
      <c r="BE11" s="197"/>
      <c r="BF11" s="196"/>
      <c r="BG11" s="196"/>
    </row>
    <row r="12" spans="1:59" s="36" customFormat="1" ht="25.5">
      <c r="A12" s="71"/>
      <c r="B12" s="46" t="s">
        <v>148</v>
      </c>
      <c r="C12" s="46"/>
      <c r="D12" s="32" t="s">
        <v>192</v>
      </c>
      <c r="E12" s="33"/>
      <c r="F12" s="33"/>
      <c r="G12" s="46" t="s">
        <v>1212</v>
      </c>
      <c r="H12" s="34" t="s">
        <v>218</v>
      </c>
      <c r="I12" s="34" t="s">
        <v>1144</v>
      </c>
      <c r="J12" s="35" t="s">
        <v>238</v>
      </c>
      <c r="K12" s="199">
        <f>AP12</f>
        <v>2082744</v>
      </c>
      <c r="L12" s="213"/>
      <c r="M12" s="35" t="s">
        <v>1213</v>
      </c>
      <c r="N12" s="34" t="s">
        <v>217</v>
      </c>
      <c r="O12" s="35"/>
      <c r="P12" s="35" t="s">
        <v>1213</v>
      </c>
      <c r="Q12" s="34" t="s">
        <v>217</v>
      </c>
      <c r="R12" s="35"/>
      <c r="S12" s="35" t="s">
        <v>1213</v>
      </c>
      <c r="T12" s="34" t="s">
        <v>217</v>
      </c>
      <c r="U12" s="35"/>
      <c r="V12" s="35" t="s">
        <v>1213</v>
      </c>
      <c r="W12" s="34" t="s">
        <v>217</v>
      </c>
      <c r="X12" s="35"/>
      <c r="Y12" s="35" t="s">
        <v>1213</v>
      </c>
      <c r="Z12" s="201">
        <v>0.2</v>
      </c>
      <c r="AA12" s="105">
        <f>37389+4006209+1778534+198293</f>
        <v>6020425</v>
      </c>
      <c r="AB12" s="202"/>
      <c r="AC12" s="202"/>
      <c r="AD12" s="202"/>
      <c r="AF12" s="69"/>
      <c r="AG12" s="69"/>
      <c r="AH12" s="69"/>
      <c r="AI12" s="203"/>
      <c r="AJ12" s="203"/>
      <c r="AK12" s="204">
        <f>+AA12*Z12</f>
        <v>1204085</v>
      </c>
      <c r="AL12" s="70"/>
      <c r="AM12" s="205">
        <f>AK12</f>
        <v>1204085</v>
      </c>
      <c r="AN12" s="205">
        <f>K12</f>
        <v>2082744</v>
      </c>
      <c r="AO12" s="206">
        <v>99000</v>
      </c>
      <c r="AP12" s="207">
        <v>2082744</v>
      </c>
      <c r="AQ12" s="206">
        <v>43995</v>
      </c>
      <c r="AR12" s="204">
        <v>1217642</v>
      </c>
      <c r="AS12" s="204">
        <v>56000</v>
      </c>
      <c r="AT12" s="204">
        <v>1214934</v>
      </c>
      <c r="AU12" s="204">
        <v>99000</v>
      </c>
      <c r="AV12" s="207">
        <v>2082744</v>
      </c>
      <c r="AW12" s="206">
        <f>AU12-AS12+AQ12</f>
        <v>86995</v>
      </c>
      <c r="AX12" s="207">
        <f>AV12-AT12+AR12</f>
        <v>2085452</v>
      </c>
      <c r="AY12" s="71"/>
      <c r="BA12" s="196"/>
      <c r="BB12" s="196">
        <f>(AM12+AN12)</f>
        <v>3286829</v>
      </c>
      <c r="BC12" s="197"/>
      <c r="BD12" s="196">
        <f>+(AP12+AO12)-BB12</f>
        <v>-1105085</v>
      </c>
      <c r="BE12" s="197"/>
      <c r="BF12" s="196"/>
      <c r="BG12" s="196"/>
    </row>
    <row r="13" spans="1:59" ht="12.75" customHeight="1">
      <c r="A13" s="62"/>
      <c r="B13" s="6" t="s">
        <v>138</v>
      </c>
      <c r="C13" s="218"/>
      <c r="D13" s="25" t="s">
        <v>192</v>
      </c>
      <c r="E13" s="16"/>
      <c r="F13" s="16"/>
      <c r="G13" s="6"/>
      <c r="H13" s="8" t="s">
        <v>220</v>
      </c>
      <c r="I13" s="8"/>
      <c r="J13" s="11"/>
      <c r="K13" s="11"/>
      <c r="L13" s="214"/>
      <c r="M13" s="11"/>
      <c r="N13" s="11"/>
      <c r="O13" s="11"/>
      <c r="P13" s="11"/>
      <c r="Q13" s="11"/>
      <c r="R13" s="11"/>
      <c r="S13" s="11"/>
      <c r="T13" s="11"/>
      <c r="U13" s="11"/>
      <c r="V13" s="11"/>
      <c r="W13" s="11"/>
      <c r="X13" s="11"/>
      <c r="Y13" s="11"/>
      <c r="Z13" s="56"/>
      <c r="AA13" s="57"/>
      <c r="AB13" s="57"/>
      <c r="AC13" s="57"/>
      <c r="AD13" s="57"/>
      <c r="AE13" s="57"/>
      <c r="AF13" s="57"/>
      <c r="AG13" s="57"/>
      <c r="AH13" s="57"/>
      <c r="AI13" s="57"/>
      <c r="AJ13" s="57"/>
      <c r="AK13" s="57"/>
      <c r="AL13" s="58"/>
      <c r="AM13" s="59"/>
      <c r="AN13" s="60"/>
      <c r="AO13" s="59"/>
      <c r="AP13" s="60"/>
      <c r="AQ13" s="61"/>
      <c r="AR13" s="61"/>
      <c r="AS13" s="61"/>
      <c r="AT13" s="61"/>
      <c r="AU13" s="61"/>
      <c r="AV13" s="61"/>
      <c r="AW13" s="59"/>
      <c r="AX13" s="60"/>
      <c r="AY13" s="62"/>
      <c r="BA13" s="141"/>
      <c r="BB13" s="141"/>
      <c r="BD13" s="141"/>
      <c r="BE13" s="143"/>
      <c r="BF13" s="141"/>
      <c r="BG13" s="141"/>
    </row>
    <row r="14" spans="1:59" ht="12.75" customHeight="1">
      <c r="A14" s="62"/>
      <c r="B14" s="6" t="s">
        <v>145</v>
      </c>
      <c r="C14" s="218" t="s">
        <v>1282</v>
      </c>
      <c r="D14" s="25" t="s">
        <v>192</v>
      </c>
      <c r="E14" s="16"/>
      <c r="F14" s="16"/>
      <c r="G14" s="6"/>
      <c r="H14" s="8" t="s">
        <v>220</v>
      </c>
      <c r="I14" s="8"/>
      <c r="J14" s="11"/>
      <c r="K14" s="11"/>
      <c r="L14" s="11"/>
      <c r="M14" s="11"/>
      <c r="N14" s="11"/>
      <c r="O14" s="11"/>
      <c r="P14" s="11"/>
      <c r="Q14" s="11"/>
      <c r="R14" s="11"/>
      <c r="S14" s="11"/>
      <c r="T14" s="11"/>
      <c r="U14" s="11"/>
      <c r="V14" s="11"/>
      <c r="W14" s="11"/>
      <c r="X14" s="11"/>
      <c r="Y14" s="11"/>
      <c r="Z14" s="56"/>
      <c r="AA14" s="57"/>
      <c r="AB14" s="57"/>
      <c r="AC14" s="57"/>
      <c r="AD14" s="57"/>
      <c r="AE14" s="57"/>
      <c r="AF14" s="57"/>
      <c r="AG14" s="57"/>
      <c r="AH14" s="57"/>
      <c r="AI14" s="57"/>
      <c r="AJ14" s="57"/>
      <c r="AK14" s="57"/>
      <c r="AL14" s="58"/>
      <c r="AM14" s="59"/>
      <c r="AN14" s="60"/>
      <c r="AO14" s="59"/>
      <c r="AP14" s="60"/>
      <c r="AQ14" s="61"/>
      <c r="AR14" s="61"/>
      <c r="AS14" s="61"/>
      <c r="AT14" s="61"/>
      <c r="AU14" s="61"/>
      <c r="AV14" s="61"/>
      <c r="AW14" s="59"/>
      <c r="AX14" s="60"/>
      <c r="AY14" s="62"/>
      <c r="BA14" s="141"/>
      <c r="BB14" s="141"/>
      <c r="BC14" s="143"/>
      <c r="BD14" s="141"/>
      <c r="BE14" s="143"/>
      <c r="BF14" s="141"/>
      <c r="BG14" s="141"/>
    </row>
    <row r="15" spans="1:59" ht="12.75" customHeight="1">
      <c r="A15" s="62"/>
      <c r="B15" s="6" t="s">
        <v>156</v>
      </c>
      <c r="C15" s="218"/>
      <c r="D15" s="25" t="s">
        <v>192</v>
      </c>
      <c r="E15" s="16"/>
      <c r="F15" s="16"/>
      <c r="G15" s="6"/>
      <c r="H15" s="8" t="s">
        <v>220</v>
      </c>
      <c r="I15" s="8"/>
      <c r="J15" s="11"/>
      <c r="K15" s="11"/>
      <c r="L15" s="11"/>
      <c r="M15" s="11"/>
      <c r="N15" s="11"/>
      <c r="O15" s="11"/>
      <c r="P15" s="11"/>
      <c r="Q15" s="11"/>
      <c r="R15" s="11"/>
      <c r="S15" s="11"/>
      <c r="T15" s="11"/>
      <c r="U15" s="11"/>
      <c r="V15" s="11"/>
      <c r="W15" s="11"/>
      <c r="X15" s="11"/>
      <c r="Y15" s="11"/>
      <c r="Z15" s="56"/>
      <c r="AA15" s="57"/>
      <c r="AB15" s="57"/>
      <c r="AC15" s="57"/>
      <c r="AD15" s="57"/>
      <c r="AE15" s="57"/>
      <c r="AF15" s="57"/>
      <c r="AG15" s="57"/>
      <c r="AH15" s="57"/>
      <c r="AI15" s="57"/>
      <c r="AJ15" s="57"/>
      <c r="AK15" s="57"/>
      <c r="AL15" s="58"/>
      <c r="AM15" s="59"/>
      <c r="AN15" s="60"/>
      <c r="AO15" s="59"/>
      <c r="AP15" s="60"/>
      <c r="AQ15" s="61"/>
      <c r="AR15" s="61"/>
      <c r="AS15" s="61"/>
      <c r="AT15" s="61"/>
      <c r="AU15" s="61"/>
      <c r="AV15" s="61"/>
      <c r="AW15" s="59"/>
      <c r="AX15" s="60"/>
      <c r="AY15" s="62"/>
      <c r="BA15" s="141"/>
      <c r="BB15" s="141"/>
      <c r="BD15" s="141"/>
      <c r="BE15" s="143"/>
      <c r="BF15" s="141"/>
      <c r="BG15" s="141"/>
    </row>
    <row r="16" spans="1:59" ht="12.75" customHeight="1">
      <c r="A16" s="62"/>
      <c r="B16" s="6" t="s">
        <v>139</v>
      </c>
      <c r="C16" s="218"/>
      <c r="D16" s="25" t="s">
        <v>192</v>
      </c>
      <c r="E16" s="16"/>
      <c r="F16" s="16"/>
      <c r="G16" s="6"/>
      <c r="H16" s="8" t="s">
        <v>220</v>
      </c>
      <c r="I16" s="8"/>
      <c r="J16" s="11"/>
      <c r="K16" s="11"/>
      <c r="L16" s="11"/>
      <c r="M16" s="11"/>
      <c r="N16" s="11"/>
      <c r="O16" s="11"/>
      <c r="P16" s="11"/>
      <c r="Q16" s="11"/>
      <c r="R16" s="11"/>
      <c r="S16" s="11"/>
      <c r="T16" s="11"/>
      <c r="U16" s="11"/>
      <c r="V16" s="11"/>
      <c r="W16" s="11"/>
      <c r="X16" s="11"/>
      <c r="Y16" s="11"/>
      <c r="Z16" s="56"/>
      <c r="AA16" s="57"/>
      <c r="AB16" s="57"/>
      <c r="AC16" s="57"/>
      <c r="AD16" s="57"/>
      <c r="AE16" s="57"/>
      <c r="AF16" s="57"/>
      <c r="AG16" s="57"/>
      <c r="AH16" s="57"/>
      <c r="AI16" s="57"/>
      <c r="AJ16" s="57"/>
      <c r="AK16" s="57"/>
      <c r="AL16" s="58"/>
      <c r="AM16" s="59"/>
      <c r="AN16" s="60"/>
      <c r="AO16" s="59"/>
      <c r="AP16" s="60"/>
      <c r="AQ16" s="61"/>
      <c r="AR16" s="61"/>
      <c r="AS16" s="61"/>
      <c r="AT16" s="61"/>
      <c r="AU16" s="61"/>
      <c r="AV16" s="61"/>
      <c r="AW16" s="59"/>
      <c r="AX16" s="60"/>
      <c r="AY16" s="62"/>
      <c r="BA16" s="141"/>
      <c r="BB16" s="141"/>
      <c r="BC16" s="143"/>
      <c r="BD16" s="141"/>
      <c r="BE16" s="143"/>
      <c r="BF16" s="141"/>
      <c r="BG16" s="141"/>
    </row>
    <row r="17" spans="1:59" ht="12.75" customHeight="1">
      <c r="A17" s="62"/>
      <c r="B17" s="6" t="s">
        <v>144</v>
      </c>
      <c r="C17" s="218"/>
      <c r="D17" s="25" t="s">
        <v>192</v>
      </c>
      <c r="E17" s="16"/>
      <c r="F17" s="16"/>
      <c r="G17" s="6"/>
      <c r="H17" s="8" t="s">
        <v>220</v>
      </c>
      <c r="I17" s="8"/>
      <c r="J17" s="11"/>
      <c r="K17" s="11"/>
      <c r="L17" s="11"/>
      <c r="M17" s="11"/>
      <c r="N17" s="11"/>
      <c r="O17" s="11"/>
      <c r="P17" s="11"/>
      <c r="Q17" s="11"/>
      <c r="R17" s="11"/>
      <c r="S17" s="11"/>
      <c r="T17" s="11"/>
      <c r="U17" s="11"/>
      <c r="V17" s="11"/>
      <c r="W17" s="11"/>
      <c r="X17" s="11"/>
      <c r="Y17" s="11"/>
      <c r="Z17" s="56"/>
      <c r="AA17" s="57"/>
      <c r="AB17" s="57"/>
      <c r="AC17" s="57"/>
      <c r="AD17" s="57"/>
      <c r="AE17" s="57"/>
      <c r="AF17" s="57"/>
      <c r="AG17" s="57"/>
      <c r="AH17" s="57"/>
      <c r="AI17" s="57"/>
      <c r="AJ17" s="57"/>
      <c r="AK17" s="57"/>
      <c r="AL17" s="58"/>
      <c r="AM17" s="59"/>
      <c r="AN17" s="60"/>
      <c r="AO17" s="59"/>
      <c r="AP17" s="60"/>
      <c r="AQ17" s="61"/>
      <c r="AR17" s="61"/>
      <c r="AS17" s="61"/>
      <c r="AT17" s="61"/>
      <c r="AU17" s="61"/>
      <c r="AV17" s="61"/>
      <c r="AW17" s="59"/>
      <c r="AX17" s="60"/>
      <c r="AY17" s="62"/>
      <c r="BA17" s="141"/>
      <c r="BB17" s="141"/>
      <c r="BC17" s="143"/>
      <c r="BD17" s="141"/>
      <c r="BE17" s="143"/>
      <c r="BF17" s="141"/>
      <c r="BG17" s="141"/>
    </row>
    <row r="18" spans="1:59" ht="12.75" customHeight="1">
      <c r="A18" s="62"/>
      <c r="B18" s="6" t="s">
        <v>153</v>
      </c>
      <c r="C18" s="218"/>
      <c r="D18" s="25" t="s">
        <v>192</v>
      </c>
      <c r="E18" s="16"/>
      <c r="F18" s="16"/>
      <c r="G18" s="6"/>
      <c r="H18" s="8" t="s">
        <v>220</v>
      </c>
      <c r="I18" s="8"/>
      <c r="J18" s="11"/>
      <c r="K18" s="11"/>
      <c r="L18" s="11"/>
      <c r="M18" s="11"/>
      <c r="N18" s="11"/>
      <c r="O18" s="11"/>
      <c r="P18" s="11"/>
      <c r="Q18" s="11"/>
      <c r="R18" s="11"/>
      <c r="S18" s="11"/>
      <c r="T18" s="11"/>
      <c r="U18" s="11"/>
      <c r="V18" s="11"/>
      <c r="W18" s="11"/>
      <c r="X18" s="11"/>
      <c r="Y18" s="11"/>
      <c r="Z18" s="56"/>
      <c r="AA18" s="57"/>
      <c r="AB18" s="57"/>
      <c r="AC18" s="57"/>
      <c r="AD18" s="57"/>
      <c r="AE18" s="57"/>
      <c r="AF18" s="57"/>
      <c r="AG18" s="57"/>
      <c r="AH18" s="57"/>
      <c r="AI18" s="57"/>
      <c r="AJ18" s="57"/>
      <c r="AK18" s="57"/>
      <c r="AL18" s="58"/>
      <c r="AM18" s="59"/>
      <c r="AN18" s="60"/>
      <c r="AO18" s="59"/>
      <c r="AP18" s="60"/>
      <c r="AQ18" s="61"/>
      <c r="AR18" s="61"/>
      <c r="AS18" s="61"/>
      <c r="AT18" s="61"/>
      <c r="AU18" s="61"/>
      <c r="AV18" s="61"/>
      <c r="AW18" s="59"/>
      <c r="AX18" s="60"/>
      <c r="AY18" s="62"/>
      <c r="BA18" s="141"/>
      <c r="BB18" s="141"/>
      <c r="BD18" s="141"/>
      <c r="BE18" s="143"/>
      <c r="BF18" s="141"/>
      <c r="BG18" s="141"/>
    </row>
    <row r="19" spans="1:59" ht="12.75" customHeight="1">
      <c r="A19" s="62"/>
      <c r="B19" s="6" t="s">
        <v>146</v>
      </c>
      <c r="C19" s="218"/>
      <c r="D19" s="25" t="s">
        <v>192</v>
      </c>
      <c r="E19" s="16"/>
      <c r="F19" s="16"/>
      <c r="G19" s="6"/>
      <c r="H19" s="8" t="s">
        <v>220</v>
      </c>
      <c r="I19" s="8"/>
      <c r="J19" s="11"/>
      <c r="K19" s="11"/>
      <c r="L19" s="11"/>
      <c r="M19" s="11"/>
      <c r="N19" s="11"/>
      <c r="O19" s="11"/>
      <c r="P19" s="11"/>
      <c r="Q19" s="11"/>
      <c r="R19" s="11"/>
      <c r="S19" s="11"/>
      <c r="T19" s="11"/>
      <c r="U19" s="11"/>
      <c r="V19" s="11"/>
      <c r="W19" s="11"/>
      <c r="X19" s="11"/>
      <c r="Y19" s="11"/>
      <c r="Z19" s="56"/>
      <c r="AA19" s="57"/>
      <c r="AB19" s="57"/>
      <c r="AC19" s="57"/>
      <c r="AD19" s="57"/>
      <c r="AE19" s="57"/>
      <c r="AF19" s="57"/>
      <c r="AG19" s="57"/>
      <c r="AH19" s="57"/>
      <c r="AI19" s="57"/>
      <c r="AJ19" s="57"/>
      <c r="AK19" s="57"/>
      <c r="AL19" s="58"/>
      <c r="AM19" s="59"/>
      <c r="AN19" s="60"/>
      <c r="AO19" s="59"/>
      <c r="AP19" s="60"/>
      <c r="AQ19" s="61"/>
      <c r="AR19" s="61"/>
      <c r="AS19" s="61"/>
      <c r="AT19" s="61"/>
      <c r="AU19" s="61"/>
      <c r="AV19" s="61"/>
      <c r="AW19" s="59"/>
      <c r="AX19" s="60"/>
      <c r="AY19" s="62"/>
      <c r="BA19" s="141"/>
      <c r="BB19" s="141"/>
      <c r="BC19" s="143"/>
      <c r="BD19" s="141"/>
      <c r="BE19" s="143"/>
      <c r="BF19" s="141"/>
      <c r="BG19" s="141"/>
    </row>
    <row r="20" spans="1:59" ht="277.5" customHeight="1">
      <c r="A20" s="62"/>
      <c r="B20" s="6" t="s">
        <v>149</v>
      </c>
      <c r="C20" s="218"/>
      <c r="D20" s="25" t="s">
        <v>192</v>
      </c>
      <c r="E20" s="16">
        <v>2015</v>
      </c>
      <c r="F20" s="17">
        <v>48579</v>
      </c>
      <c r="G20" s="218" t="s">
        <v>1335</v>
      </c>
      <c r="H20" s="8" t="s">
        <v>1336</v>
      </c>
      <c r="I20" s="8"/>
      <c r="J20" s="11"/>
      <c r="K20" s="11"/>
      <c r="L20" s="11"/>
      <c r="M20" s="11"/>
      <c r="N20" s="11"/>
      <c r="O20" s="11"/>
      <c r="P20" s="11"/>
      <c r="Q20" s="11"/>
      <c r="R20" s="11"/>
      <c r="S20" s="11"/>
      <c r="T20" s="11"/>
      <c r="U20" s="11"/>
      <c r="V20" s="11"/>
      <c r="W20" s="11"/>
      <c r="X20" s="11"/>
      <c r="Y20" s="11"/>
      <c r="Z20" s="56"/>
      <c r="AA20" s="57"/>
      <c r="AB20" s="57"/>
      <c r="AC20" s="57"/>
      <c r="AD20" s="57"/>
      <c r="AE20" s="57"/>
      <c r="AF20" s="57"/>
      <c r="AG20" s="57"/>
      <c r="AH20" s="57"/>
      <c r="AI20" s="57"/>
      <c r="AJ20" s="57"/>
      <c r="AK20" s="57"/>
      <c r="AL20" s="58"/>
      <c r="AM20" s="59"/>
      <c r="AN20" s="60"/>
      <c r="AO20" s="59"/>
      <c r="AP20" s="60"/>
      <c r="AQ20" s="61"/>
      <c r="AR20" s="61"/>
      <c r="AS20" s="61"/>
      <c r="AT20" s="61"/>
      <c r="AU20" s="61"/>
      <c r="AV20" s="61"/>
      <c r="AW20" s="59"/>
      <c r="AX20" s="60"/>
      <c r="AY20" s="62"/>
      <c r="BA20" s="141"/>
      <c r="BB20" s="141"/>
      <c r="BC20" s="143"/>
      <c r="BD20" s="141"/>
      <c r="BE20" s="143"/>
      <c r="BF20" s="141"/>
      <c r="BG20" s="141"/>
    </row>
    <row r="21" spans="1:59" ht="12.75" customHeight="1">
      <c r="A21" s="62"/>
      <c r="B21" s="6" t="s">
        <v>141</v>
      </c>
      <c r="C21" s="218"/>
      <c r="D21" s="25" t="s">
        <v>192</v>
      </c>
      <c r="E21" s="18"/>
      <c r="F21" s="18"/>
      <c r="G21" s="6"/>
      <c r="H21" s="8" t="s">
        <v>220</v>
      </c>
      <c r="I21" s="8"/>
      <c r="J21" s="11"/>
      <c r="K21" s="11"/>
      <c r="L21" s="11"/>
      <c r="M21" s="11"/>
      <c r="N21" s="11"/>
      <c r="O21" s="11"/>
      <c r="P21" s="11"/>
      <c r="Q21" s="11"/>
      <c r="R21" s="11"/>
      <c r="S21" s="11"/>
      <c r="T21" s="11"/>
      <c r="U21" s="11"/>
      <c r="V21" s="11"/>
      <c r="W21" s="11"/>
      <c r="X21" s="11"/>
      <c r="Y21" s="11"/>
      <c r="Z21" s="56"/>
      <c r="AA21" s="57"/>
      <c r="AB21" s="57"/>
      <c r="AC21" s="57"/>
      <c r="AD21" s="57"/>
      <c r="AE21" s="57"/>
      <c r="AF21" s="57"/>
      <c r="AG21" s="57"/>
      <c r="AH21" s="57"/>
      <c r="AI21" s="57"/>
      <c r="AJ21" s="57"/>
      <c r="AK21" s="57"/>
      <c r="AL21" s="58"/>
      <c r="AM21" s="59"/>
      <c r="AN21" s="60"/>
      <c r="AO21" s="59"/>
      <c r="AP21" s="60"/>
      <c r="AQ21" s="61"/>
      <c r="AR21" s="61"/>
      <c r="AS21" s="61"/>
      <c r="AT21" s="61"/>
      <c r="AU21" s="61"/>
      <c r="AV21" s="61"/>
      <c r="AW21" s="59"/>
      <c r="AX21" s="60"/>
      <c r="AY21" s="62"/>
      <c r="BA21" s="141"/>
      <c r="BB21" s="141"/>
      <c r="BC21" s="143"/>
      <c r="BD21" s="141"/>
      <c r="BE21" s="143"/>
      <c r="BF21" s="141"/>
      <c r="BG21" s="141"/>
    </row>
    <row r="22" spans="1:59" ht="38.25">
      <c r="A22" s="62"/>
      <c r="B22" s="6" t="s">
        <v>140</v>
      </c>
      <c r="C22" s="218"/>
      <c r="D22" s="37" t="s">
        <v>192</v>
      </c>
      <c r="E22" s="16"/>
      <c r="F22" s="16"/>
      <c r="G22" s="6" t="s">
        <v>1208</v>
      </c>
      <c r="H22" s="173" t="s">
        <v>239</v>
      </c>
      <c r="I22" s="195" t="s">
        <v>1215</v>
      </c>
      <c r="J22" s="11" t="s">
        <v>238</v>
      </c>
      <c r="K22" s="11"/>
      <c r="L22" s="28">
        <f>AP22</f>
        <v>2313000</v>
      </c>
      <c r="M22" s="6" t="s">
        <v>1211</v>
      </c>
      <c r="N22" s="11"/>
      <c r="O22" s="28">
        <v>2250000</v>
      </c>
      <c r="P22" s="6" t="s">
        <v>1211</v>
      </c>
      <c r="Q22" s="11"/>
      <c r="R22" s="28">
        <v>2250000</v>
      </c>
      <c r="S22" s="6" t="s">
        <v>1211</v>
      </c>
      <c r="T22" s="11"/>
      <c r="U22" s="28">
        <v>2250000</v>
      </c>
      <c r="V22" s="6" t="s">
        <v>1211</v>
      </c>
      <c r="W22" s="11"/>
      <c r="X22" s="28">
        <v>2250000</v>
      </c>
      <c r="Y22" s="6" t="s">
        <v>1211</v>
      </c>
      <c r="Z22" s="63"/>
      <c r="AA22" s="104"/>
      <c r="AB22" s="106"/>
      <c r="AC22" s="106"/>
      <c r="AD22" s="106"/>
      <c r="AE22" s="1"/>
      <c r="AF22" s="57"/>
      <c r="AG22" s="57"/>
      <c r="AH22" s="57"/>
      <c r="AI22" s="170"/>
      <c r="AJ22" s="170"/>
      <c r="AK22" s="64">
        <f>(4715093*28%)+(18150*40%)+(1745247*15%)</f>
        <v>1589273.09</v>
      </c>
      <c r="AL22" s="58"/>
      <c r="AM22" s="78"/>
      <c r="AN22" s="78">
        <f>L22</f>
        <v>2313000</v>
      </c>
      <c r="AO22" s="67"/>
      <c r="AP22" s="68">
        <v>2313000</v>
      </c>
      <c r="AQ22" s="67"/>
      <c r="AR22" s="64">
        <v>1335000</v>
      </c>
      <c r="AS22" s="64"/>
      <c r="AT22" s="64">
        <v>1349250</v>
      </c>
      <c r="AU22" s="64"/>
      <c r="AV22" s="68">
        <v>2313000</v>
      </c>
      <c r="AW22" s="67">
        <f>AU22-AS22+AQ22</f>
        <v>0</v>
      </c>
      <c r="AX22" s="68">
        <f>AV22-AT22+AR22</f>
        <v>2298750</v>
      </c>
      <c r="AY22" s="62"/>
      <c r="BA22" s="141"/>
      <c r="BB22" s="141">
        <f>(AM22+AN22)</f>
        <v>2313000</v>
      </c>
      <c r="BC22" s="143"/>
      <c r="BD22" s="141">
        <f>+(AP22+AO22)-BB22</f>
        <v>0</v>
      </c>
      <c r="BE22" s="143"/>
      <c r="BF22" s="141"/>
      <c r="BG22" s="141"/>
    </row>
    <row r="23" spans="1:59" ht="12.75" customHeight="1">
      <c r="A23" s="62"/>
      <c r="B23" s="6" t="s">
        <v>152</v>
      </c>
      <c r="C23" s="218"/>
      <c r="D23" s="25" t="s">
        <v>192</v>
      </c>
      <c r="E23" s="16"/>
      <c r="F23" s="16"/>
      <c r="G23" s="6"/>
      <c r="H23" s="8" t="s">
        <v>220</v>
      </c>
      <c r="I23" s="8"/>
      <c r="J23" s="11"/>
      <c r="K23" s="11"/>
      <c r="L23" s="11"/>
      <c r="M23" s="11"/>
      <c r="N23" s="11"/>
      <c r="O23" s="11"/>
      <c r="P23" s="11"/>
      <c r="Q23" s="11"/>
      <c r="R23" s="11"/>
      <c r="S23" s="11"/>
      <c r="T23" s="11"/>
      <c r="U23" s="11"/>
      <c r="V23" s="11"/>
      <c r="W23" s="11"/>
      <c r="X23" s="11"/>
      <c r="Y23" s="11"/>
      <c r="Z23" s="56"/>
      <c r="AA23" s="57"/>
      <c r="AB23" s="57"/>
      <c r="AC23" s="57"/>
      <c r="AD23" s="57"/>
      <c r="AE23" s="57"/>
      <c r="AF23" s="57"/>
      <c r="AG23" s="57"/>
      <c r="AH23" s="57"/>
      <c r="AI23" s="57"/>
      <c r="AJ23" s="57"/>
      <c r="AK23" s="57"/>
      <c r="AL23" s="58"/>
      <c r="AM23" s="59"/>
      <c r="AN23" s="60"/>
      <c r="AO23" s="59"/>
      <c r="AP23" s="60"/>
      <c r="AQ23" s="61"/>
      <c r="AR23" s="61"/>
      <c r="AS23" s="61"/>
      <c r="AT23" s="61"/>
      <c r="AU23" s="61"/>
      <c r="AV23" s="61"/>
      <c r="AW23" s="59"/>
      <c r="AX23" s="60"/>
      <c r="AY23" s="62"/>
      <c r="BA23" s="141"/>
      <c r="BB23" s="141"/>
      <c r="BD23" s="141"/>
      <c r="BE23" s="143"/>
      <c r="BF23" s="141"/>
      <c r="BG23" s="141"/>
    </row>
    <row r="24" spans="1:59" ht="12.75" customHeight="1">
      <c r="A24" s="62"/>
      <c r="B24" s="6" t="s">
        <v>155</v>
      </c>
      <c r="C24" s="218"/>
      <c r="D24" s="25" t="s">
        <v>192</v>
      </c>
      <c r="E24" s="16"/>
      <c r="F24" s="16"/>
      <c r="G24" s="6"/>
      <c r="H24" s="8" t="s">
        <v>220</v>
      </c>
      <c r="I24" s="8"/>
      <c r="J24" s="11"/>
      <c r="K24" s="11"/>
      <c r="L24" s="11"/>
      <c r="M24" s="11"/>
      <c r="N24" s="11"/>
      <c r="O24" s="11"/>
      <c r="P24" s="11"/>
      <c r="Q24" s="11"/>
      <c r="R24" s="11"/>
      <c r="S24" s="11"/>
      <c r="T24" s="11"/>
      <c r="U24" s="11"/>
      <c r="V24" s="11"/>
      <c r="W24" s="11"/>
      <c r="X24" s="11"/>
      <c r="Y24" s="11"/>
      <c r="Z24" s="56"/>
      <c r="AA24" s="57"/>
      <c r="AB24" s="57"/>
      <c r="AC24" s="57"/>
      <c r="AD24" s="57"/>
      <c r="AE24" s="57"/>
      <c r="AF24" s="57"/>
      <c r="AG24" s="57"/>
      <c r="AH24" s="57"/>
      <c r="AI24" s="57"/>
      <c r="AJ24" s="57"/>
      <c r="AK24" s="57"/>
      <c r="AL24" s="58"/>
      <c r="AM24" s="59"/>
      <c r="AN24" s="60"/>
      <c r="AO24" s="59"/>
      <c r="AP24" s="60"/>
      <c r="AQ24" s="61"/>
      <c r="AR24" s="61"/>
      <c r="AS24" s="61"/>
      <c r="AT24" s="61"/>
      <c r="AU24" s="61"/>
      <c r="AV24" s="61"/>
      <c r="AW24" s="59"/>
      <c r="AX24" s="60"/>
      <c r="AY24" s="62"/>
      <c r="BA24" s="141"/>
      <c r="BB24" s="141"/>
      <c r="BC24" s="143"/>
      <c r="BD24" s="141"/>
      <c r="BE24" s="143"/>
      <c r="BF24" s="141"/>
      <c r="BG24" s="141"/>
    </row>
    <row r="25" spans="1:59" ht="12.75" customHeight="1">
      <c r="A25" s="62"/>
      <c r="B25" s="6" t="s">
        <v>206</v>
      </c>
      <c r="C25" s="218"/>
      <c r="D25" s="25" t="s">
        <v>192</v>
      </c>
      <c r="E25" s="16"/>
      <c r="F25" s="16"/>
      <c r="G25" s="6"/>
      <c r="H25" s="8" t="s">
        <v>220</v>
      </c>
      <c r="I25" s="8"/>
      <c r="J25" s="11"/>
      <c r="K25" s="11"/>
      <c r="L25" s="11"/>
      <c r="M25" s="11"/>
      <c r="N25" s="11"/>
      <c r="O25" s="11"/>
      <c r="P25" s="11"/>
      <c r="Q25" s="11"/>
      <c r="R25" s="11"/>
      <c r="S25" s="11"/>
      <c r="T25" s="11"/>
      <c r="U25" s="11"/>
      <c r="V25" s="11"/>
      <c r="W25" s="11"/>
      <c r="X25" s="11"/>
      <c r="Y25" s="11"/>
      <c r="Z25" s="56"/>
      <c r="AA25" s="57"/>
      <c r="AB25" s="57"/>
      <c r="AC25" s="57"/>
      <c r="AD25" s="57"/>
      <c r="AE25" s="57"/>
      <c r="AF25" s="57"/>
      <c r="AG25" s="57"/>
      <c r="AH25" s="57"/>
      <c r="AI25" s="57"/>
      <c r="AJ25" s="57"/>
      <c r="AK25" s="57"/>
      <c r="AL25" s="58"/>
      <c r="AM25" s="59"/>
      <c r="AN25" s="60"/>
      <c r="AO25" s="59"/>
      <c r="AP25" s="60"/>
      <c r="AQ25" s="61"/>
      <c r="AR25" s="61"/>
      <c r="AS25" s="61"/>
      <c r="AT25" s="61"/>
      <c r="AU25" s="61"/>
      <c r="AV25" s="61"/>
      <c r="AW25" s="59"/>
      <c r="AX25" s="60"/>
      <c r="AY25" s="62"/>
      <c r="BA25" s="141"/>
      <c r="BB25" s="141"/>
      <c r="BD25" s="141"/>
      <c r="BE25" s="143"/>
      <c r="BF25" s="141"/>
      <c r="BG25" s="141"/>
    </row>
    <row r="26" spans="1:59" ht="12.75" customHeight="1">
      <c r="A26" s="62"/>
      <c r="B26" s="6" t="s">
        <v>208</v>
      </c>
      <c r="C26" s="218"/>
      <c r="D26" s="25" t="s">
        <v>192</v>
      </c>
      <c r="E26" s="16"/>
      <c r="F26" s="16"/>
      <c r="G26" s="6"/>
      <c r="H26" s="8" t="s">
        <v>220</v>
      </c>
      <c r="I26" s="8"/>
      <c r="J26" s="11"/>
      <c r="K26" s="11"/>
      <c r="L26" s="11"/>
      <c r="M26" s="11"/>
      <c r="N26" s="11"/>
      <c r="O26" s="11"/>
      <c r="P26" s="11"/>
      <c r="Q26" s="11"/>
      <c r="R26" s="11"/>
      <c r="S26" s="11"/>
      <c r="T26" s="11"/>
      <c r="U26" s="11"/>
      <c r="V26" s="11"/>
      <c r="W26" s="11"/>
      <c r="X26" s="11"/>
      <c r="Y26" s="11"/>
      <c r="Z26" s="56"/>
      <c r="AA26" s="57"/>
      <c r="AB26" s="57"/>
      <c r="AC26" s="57"/>
      <c r="AD26" s="57"/>
      <c r="AE26" s="57"/>
      <c r="AF26" s="57"/>
      <c r="AG26" s="57"/>
      <c r="AH26" s="57"/>
      <c r="AI26" s="57"/>
      <c r="AJ26" s="57"/>
      <c r="AK26" s="57"/>
      <c r="AL26" s="58"/>
      <c r="AM26" s="59"/>
      <c r="AN26" s="60"/>
      <c r="AO26" s="59"/>
      <c r="AP26" s="60"/>
      <c r="AQ26" s="61"/>
      <c r="AR26" s="61"/>
      <c r="AS26" s="61"/>
      <c r="AT26" s="61"/>
      <c r="AU26" s="61"/>
      <c r="AV26" s="61"/>
      <c r="AW26" s="59"/>
      <c r="AX26" s="60"/>
      <c r="AY26" s="62"/>
      <c r="BA26" s="141"/>
      <c r="BB26" s="141"/>
      <c r="BC26" s="143"/>
      <c r="BD26" s="141"/>
      <c r="BE26" s="143"/>
      <c r="BF26" s="141"/>
      <c r="BG26" s="141"/>
    </row>
    <row r="27" spans="1:59" ht="12.75" customHeight="1">
      <c r="A27" s="62"/>
      <c r="B27" s="6" t="s">
        <v>147</v>
      </c>
      <c r="C27" s="218"/>
      <c r="D27" s="25" t="s">
        <v>192</v>
      </c>
      <c r="E27" s="16"/>
      <c r="F27" s="16"/>
      <c r="G27" s="6"/>
      <c r="H27" s="8" t="s">
        <v>220</v>
      </c>
      <c r="I27" s="8"/>
      <c r="J27" s="11"/>
      <c r="K27" s="11"/>
      <c r="L27" s="11"/>
      <c r="M27" s="11"/>
      <c r="N27" s="11"/>
      <c r="O27" s="11"/>
      <c r="P27" s="11"/>
      <c r="Q27" s="11"/>
      <c r="R27" s="11"/>
      <c r="S27" s="11"/>
      <c r="T27" s="11"/>
      <c r="U27" s="11"/>
      <c r="V27" s="11"/>
      <c r="W27" s="11"/>
      <c r="X27" s="11"/>
      <c r="Y27" s="11"/>
      <c r="Z27" s="56"/>
      <c r="AA27" s="57"/>
      <c r="AB27" s="57"/>
      <c r="AC27" s="57"/>
      <c r="AD27" s="57"/>
      <c r="AE27" s="57"/>
      <c r="AF27" s="57"/>
      <c r="AG27" s="57"/>
      <c r="AH27" s="57"/>
      <c r="AI27" s="57"/>
      <c r="AJ27" s="57"/>
      <c r="AK27" s="57"/>
      <c r="AL27" s="58"/>
      <c r="AM27" s="59"/>
      <c r="AN27" s="60"/>
      <c r="AO27" s="59"/>
      <c r="AP27" s="60"/>
      <c r="AQ27" s="61"/>
      <c r="AR27" s="61"/>
      <c r="AS27" s="61"/>
      <c r="AT27" s="61"/>
      <c r="AU27" s="61"/>
      <c r="AV27" s="61"/>
      <c r="AW27" s="59"/>
      <c r="AX27" s="60"/>
      <c r="AY27" s="62"/>
      <c r="BA27" s="141"/>
      <c r="BB27" s="141"/>
      <c r="BC27" s="143"/>
      <c r="BD27" s="141"/>
      <c r="BE27" s="143"/>
      <c r="BF27" s="141"/>
      <c r="BG27" s="141"/>
    </row>
    <row r="28" spans="1:59" ht="12.75" customHeight="1">
      <c r="A28" s="62"/>
      <c r="B28" s="6" t="s">
        <v>157</v>
      </c>
      <c r="C28" s="218"/>
      <c r="D28" s="25" t="s">
        <v>192</v>
      </c>
      <c r="E28" s="16"/>
      <c r="F28" s="16"/>
      <c r="G28" s="6"/>
      <c r="H28" s="8" t="s">
        <v>220</v>
      </c>
      <c r="I28" s="8"/>
      <c r="J28" s="11"/>
      <c r="K28" s="11"/>
      <c r="L28" s="11"/>
      <c r="M28" s="11"/>
      <c r="N28" s="11"/>
      <c r="O28" s="11"/>
      <c r="P28" s="11"/>
      <c r="Q28" s="11"/>
      <c r="R28" s="11"/>
      <c r="S28" s="11"/>
      <c r="T28" s="11"/>
      <c r="U28" s="11"/>
      <c r="V28" s="11"/>
      <c r="W28" s="11"/>
      <c r="X28" s="11"/>
      <c r="Y28" s="11"/>
      <c r="Z28" s="56"/>
      <c r="AA28" s="57"/>
      <c r="AB28" s="57"/>
      <c r="AC28" s="57"/>
      <c r="AD28" s="57"/>
      <c r="AE28" s="57"/>
      <c r="AF28" s="57"/>
      <c r="AG28" s="57"/>
      <c r="AH28" s="57"/>
      <c r="AI28" s="57"/>
      <c r="AJ28" s="57"/>
      <c r="AK28" s="57"/>
      <c r="AL28" s="58"/>
      <c r="AM28" s="59"/>
      <c r="AN28" s="60"/>
      <c r="AO28" s="59"/>
      <c r="AP28" s="60"/>
      <c r="AQ28" s="61"/>
      <c r="AR28" s="61"/>
      <c r="AS28" s="61"/>
      <c r="AT28" s="61"/>
      <c r="AU28" s="61"/>
      <c r="AV28" s="61"/>
      <c r="AW28" s="59"/>
      <c r="AX28" s="60"/>
      <c r="AY28" s="62"/>
      <c r="BA28" s="141"/>
      <c r="BB28" s="141"/>
      <c r="BD28" s="141"/>
      <c r="BE28" s="143"/>
      <c r="BF28" s="141"/>
      <c r="BG28" s="141"/>
    </row>
  </sheetData>
  <autoFilter ref="A4:BG28"/>
  <mergeCells count="27">
    <mergeCell ref="AO3:AP3"/>
    <mergeCell ref="J3:J4"/>
    <mergeCell ref="K3:M3"/>
    <mergeCell ref="H3:I3"/>
    <mergeCell ref="G3:G4"/>
    <mergeCell ref="N3:P3"/>
    <mergeCell ref="Q3:S3"/>
    <mergeCell ref="T3:V3"/>
    <mergeCell ref="AM3:AN3"/>
    <mergeCell ref="W3:Y3"/>
    <mergeCell ref="Z3:AL3"/>
    <mergeCell ref="A3:A4"/>
    <mergeCell ref="B3:B4"/>
    <mergeCell ref="D3:D4"/>
    <mergeCell ref="E3:E4"/>
    <mergeCell ref="F3:F4"/>
    <mergeCell ref="C3:C4"/>
    <mergeCell ref="BF3:BF4"/>
    <mergeCell ref="BG3:BG4"/>
    <mergeCell ref="AY3:AY4"/>
    <mergeCell ref="AQ3:AR3"/>
    <mergeCell ref="AS3:AT3"/>
    <mergeCell ref="AU3:AV3"/>
    <mergeCell ref="BA3:BA4"/>
    <mergeCell ref="BB3:BB4"/>
    <mergeCell ref="BD3:BD4"/>
    <mergeCell ref="AW3:AX3"/>
  </mergeCells>
  <conditionalFormatting sqref="BD29:BD65536">
    <cfRule type="cellIs" dxfId="39" priority="15" stopIfTrue="1" operator="equal">
      <formula>0</formula>
    </cfRule>
    <cfRule type="cellIs" dxfId="38" priority="16" stopIfTrue="1" operator="lessThan">
      <formula>0</formula>
    </cfRule>
  </conditionalFormatting>
  <conditionalFormatting sqref="BD29:BD65536">
    <cfRule type="cellIs" dxfId="37" priority="14" stopIfTrue="1" operator="greaterThan">
      <formula>0</formula>
    </cfRule>
  </conditionalFormatting>
  <conditionalFormatting sqref="BD1:BD2 BD7">
    <cfRule type="cellIs" dxfId="36" priority="52" stopIfTrue="1" operator="greaterThan">
      <formula>0</formula>
    </cfRule>
  </conditionalFormatting>
  <conditionalFormatting sqref="BD1:BD4 BD7">
    <cfRule type="cellIs" dxfId="35" priority="50" stopIfTrue="1" operator="equal">
      <formula>0</formula>
    </cfRule>
    <cfRule type="cellIs" dxfId="34" priority="51" stopIfTrue="1" operator="lessThan">
      <formula>0</formula>
    </cfRule>
  </conditionalFormatting>
  <conditionalFormatting sqref="BD9:BD10 BD14:BD17 BD19:BD21 BD26:BD28 BD23:BD24">
    <cfRule type="cellIs" dxfId="33" priority="49" stopIfTrue="1" operator="greaterThan">
      <formula>0</formula>
    </cfRule>
  </conditionalFormatting>
  <conditionalFormatting sqref="BD9:BD10 BD14:BD17 BD19:BD21 BD26:BD28 BD23:BD24">
    <cfRule type="cellIs" dxfId="32" priority="47" stopIfTrue="1" operator="equal">
      <formula>0</formula>
    </cfRule>
    <cfRule type="cellIs" dxfId="31" priority="48" stopIfTrue="1" operator="lessThan">
      <formula>0</formula>
    </cfRule>
  </conditionalFormatting>
  <conditionalFormatting sqref="BD9:BD10 BD14:BD17 BD19:BD21 BD26:BD28 BD23:BD24">
    <cfRule type="cellIs" dxfId="30" priority="46" stopIfTrue="1" operator="equal">
      <formula>0</formula>
    </cfRule>
  </conditionalFormatting>
  <conditionalFormatting sqref="BD9:BD10 BD14:BD17 BD19:BD21 BD26:BD28 BD23:BD24">
    <cfRule type="cellIs" dxfId="29" priority="45" stopIfTrue="1" operator="equal">
      <formula>0</formula>
    </cfRule>
  </conditionalFormatting>
  <conditionalFormatting sqref="BD13">
    <cfRule type="cellIs" dxfId="28" priority="44" stopIfTrue="1" operator="greaterThan">
      <formula>0</formula>
    </cfRule>
  </conditionalFormatting>
  <conditionalFormatting sqref="BD13">
    <cfRule type="cellIs" dxfId="27" priority="42" stopIfTrue="1" operator="equal">
      <formula>0</formula>
    </cfRule>
    <cfRule type="cellIs" dxfId="26" priority="43" stopIfTrue="1" operator="lessThan">
      <formula>0</formula>
    </cfRule>
  </conditionalFormatting>
  <conditionalFormatting sqref="BD13">
    <cfRule type="cellIs" dxfId="25" priority="41" stopIfTrue="1" operator="equal">
      <formula>0</formula>
    </cfRule>
  </conditionalFormatting>
  <conditionalFormatting sqref="BD13">
    <cfRule type="cellIs" dxfId="24" priority="40" stopIfTrue="1" operator="equal">
      <formula>0</formula>
    </cfRule>
  </conditionalFormatting>
  <conditionalFormatting sqref="BD18">
    <cfRule type="cellIs" dxfId="23" priority="39" stopIfTrue="1" operator="greaterThan">
      <formula>0</formula>
    </cfRule>
  </conditionalFormatting>
  <conditionalFormatting sqref="BD18">
    <cfRule type="cellIs" dxfId="22" priority="37" stopIfTrue="1" operator="equal">
      <formula>0</formula>
    </cfRule>
    <cfRule type="cellIs" dxfId="21" priority="38" stopIfTrue="1" operator="lessThan">
      <formula>0</formula>
    </cfRule>
  </conditionalFormatting>
  <conditionalFormatting sqref="BD18">
    <cfRule type="cellIs" dxfId="20" priority="36" stopIfTrue="1" operator="equal">
      <formula>0</formula>
    </cfRule>
  </conditionalFormatting>
  <conditionalFormatting sqref="BD18">
    <cfRule type="cellIs" dxfId="19" priority="35" stopIfTrue="1" operator="equal">
      <formula>0</formula>
    </cfRule>
  </conditionalFormatting>
  <conditionalFormatting sqref="BD5:BD6">
    <cfRule type="cellIs" dxfId="18" priority="34" stopIfTrue="1" operator="greaterThan">
      <formula>0</formula>
    </cfRule>
  </conditionalFormatting>
  <conditionalFormatting sqref="BD5:BD6">
    <cfRule type="cellIs" dxfId="17" priority="32" stopIfTrue="1" operator="equal">
      <formula>0</formula>
    </cfRule>
    <cfRule type="cellIs" dxfId="16" priority="33" stopIfTrue="1" operator="lessThan">
      <formula>0</formula>
    </cfRule>
  </conditionalFormatting>
  <conditionalFormatting sqref="BD5:BD6">
    <cfRule type="cellIs" dxfId="15" priority="31" stopIfTrue="1" operator="equal">
      <formula>0</formula>
    </cfRule>
  </conditionalFormatting>
  <conditionalFormatting sqref="BD5:BD6">
    <cfRule type="cellIs" dxfId="14" priority="30" stopIfTrue="1" operator="equal">
      <formula>0</formula>
    </cfRule>
  </conditionalFormatting>
  <conditionalFormatting sqref="BD25">
    <cfRule type="cellIs" dxfId="13" priority="29" stopIfTrue="1" operator="greaterThan">
      <formula>0</formula>
    </cfRule>
  </conditionalFormatting>
  <conditionalFormatting sqref="BD25">
    <cfRule type="cellIs" dxfId="12" priority="27" stopIfTrue="1" operator="equal">
      <formula>0</formula>
    </cfRule>
    <cfRule type="cellIs" dxfId="11" priority="28" stopIfTrue="1" operator="lessThan">
      <formula>0</formula>
    </cfRule>
  </conditionalFormatting>
  <conditionalFormatting sqref="BD25">
    <cfRule type="cellIs" dxfId="10" priority="26" stopIfTrue="1" operator="equal">
      <formula>0</formula>
    </cfRule>
  </conditionalFormatting>
  <conditionalFormatting sqref="BD25">
    <cfRule type="cellIs" dxfId="9" priority="25" stopIfTrue="1" operator="equal">
      <formula>0</formula>
    </cfRule>
  </conditionalFormatting>
  <conditionalFormatting sqref="BD8">
    <cfRule type="cellIs" dxfId="8" priority="9" stopIfTrue="1" operator="greaterThan">
      <formula>0</formula>
    </cfRule>
  </conditionalFormatting>
  <conditionalFormatting sqref="BD8">
    <cfRule type="cellIs" dxfId="7" priority="7" stopIfTrue="1" operator="equal">
      <formula>0</formula>
    </cfRule>
    <cfRule type="cellIs" dxfId="6" priority="8" stopIfTrue="1" operator="lessThan">
      <formula>0</formula>
    </cfRule>
  </conditionalFormatting>
  <conditionalFormatting sqref="BD11:BD12">
    <cfRule type="cellIs" dxfId="5" priority="6" stopIfTrue="1" operator="greaterThan">
      <formula>0</formula>
    </cfRule>
  </conditionalFormatting>
  <conditionalFormatting sqref="BD11:BD12">
    <cfRule type="cellIs" dxfId="4" priority="4" stopIfTrue="1" operator="equal">
      <formula>0</formula>
    </cfRule>
    <cfRule type="cellIs" dxfId="3" priority="5" stopIfTrue="1" operator="lessThan">
      <formula>0</formula>
    </cfRule>
  </conditionalFormatting>
  <conditionalFormatting sqref="BD22">
    <cfRule type="cellIs" dxfId="2" priority="3" stopIfTrue="1" operator="greaterThan">
      <formula>0</formula>
    </cfRule>
  </conditionalFormatting>
  <conditionalFormatting sqref="BD22">
    <cfRule type="cellIs" dxfId="1" priority="1" stopIfTrue="1" operator="equal">
      <formula>0</formula>
    </cfRule>
    <cfRule type="cellIs" dxfId="0" priority="2" stopIfTrue="1" operator="lessThan">
      <formula>0</formula>
    </cfRule>
  </conditionalFormatting>
  <pageMargins left="0.25" right="0.25" top="0.75" bottom="0.75" header="0.3" footer="0.3"/>
  <pageSetup paperSize="9" scale="2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7" sqref="C7"/>
    </sheetView>
  </sheetViews>
  <sheetFormatPr defaultColWidth="11.42578125" defaultRowHeight="15"/>
  <cols>
    <col min="1" max="1" width="27.140625" bestFit="1" customWidth="1"/>
    <col min="2" max="2" width="47" customWidth="1"/>
    <col min="3" max="3" width="46.42578125" bestFit="1" customWidth="1"/>
    <col min="4" max="4" width="54.5703125" customWidth="1"/>
  </cols>
  <sheetData>
    <row r="1" spans="1:4">
      <c r="A1" t="s">
        <v>236</v>
      </c>
    </row>
    <row r="2" spans="1:4">
      <c r="A2" s="82" t="s">
        <v>75</v>
      </c>
      <c r="B2" s="83"/>
      <c r="C2" s="83"/>
      <c r="D2" s="83"/>
    </row>
    <row r="3" spans="1:4" ht="30">
      <c r="A3" s="38" t="s">
        <v>210</v>
      </c>
      <c r="B3" s="38" t="s">
        <v>269</v>
      </c>
      <c r="C3" s="84" t="s">
        <v>294</v>
      </c>
      <c r="D3" s="172" t="s">
        <v>1151</v>
      </c>
    </row>
    <row r="4" spans="1:4">
      <c r="A4" s="39" t="s">
        <v>192</v>
      </c>
      <c r="B4" s="39" t="s">
        <v>237</v>
      </c>
      <c r="C4" s="84" t="s">
        <v>1059</v>
      </c>
      <c r="D4" s="84"/>
    </row>
    <row r="5" spans="1:4">
      <c r="A5" s="39" t="s">
        <v>191</v>
      </c>
      <c r="B5" s="39" t="s">
        <v>237</v>
      </c>
      <c r="C5" s="84" t="s">
        <v>1152</v>
      </c>
      <c r="D5" s="84"/>
    </row>
    <row r="6" spans="1:4" ht="60">
      <c r="A6" s="39" t="s">
        <v>194</v>
      </c>
      <c r="B6" s="81" t="s">
        <v>268</v>
      </c>
      <c r="C6" s="84" t="s">
        <v>1153</v>
      </c>
      <c r="D6" s="84"/>
    </row>
    <row r="7" spans="1:4" ht="15.75" thickBot="1">
      <c r="A7" s="40" t="s">
        <v>193</v>
      </c>
      <c r="B7" s="40" t="s">
        <v>267</v>
      </c>
      <c r="C7" s="85"/>
      <c r="D7" s="8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8"/>
  <sheetViews>
    <sheetView workbookViewId="0">
      <selection activeCell="F20" sqref="F20"/>
    </sheetView>
  </sheetViews>
  <sheetFormatPr defaultColWidth="11.42578125" defaultRowHeight="15"/>
  <cols>
    <col min="1" max="1" width="12.42578125" customWidth="1"/>
    <col min="2" max="6" width="14.7109375" bestFit="1" customWidth="1"/>
    <col min="7" max="7" width="15.7109375" bestFit="1" customWidth="1"/>
    <col min="8" max="9" width="14.7109375" bestFit="1" customWidth="1"/>
  </cols>
  <sheetData>
    <row r="1" spans="1:4">
      <c r="A1" t="s">
        <v>285</v>
      </c>
    </row>
    <row r="2" spans="1:4">
      <c r="B2">
        <v>2012</v>
      </c>
      <c r="C2">
        <v>2013</v>
      </c>
      <c r="D2">
        <v>2014</v>
      </c>
    </row>
    <row r="3" spans="1:4">
      <c r="A3" t="s">
        <v>286</v>
      </c>
      <c r="B3" s="72">
        <v>3046103</v>
      </c>
      <c r="C3" s="73">
        <f>B3+(B3*B4)</f>
        <v>3120123.3029</v>
      </c>
      <c r="D3" s="73">
        <f>C3+(C3*C4)</f>
        <v>3168173.20176466</v>
      </c>
    </row>
    <row r="4" spans="1:4">
      <c r="A4" t="s">
        <v>287</v>
      </c>
      <c r="B4" s="74">
        <v>2.4299999999999999E-2</v>
      </c>
      <c r="C4" s="74">
        <v>1.54E-2</v>
      </c>
    </row>
    <row r="6" spans="1:4">
      <c r="B6" s="73">
        <f>B3/12</f>
        <v>253841.91666666666</v>
      </c>
      <c r="C6" s="73">
        <f>C3/12</f>
        <v>260010.27524166668</v>
      </c>
      <c r="D6" s="73">
        <f>D3/12</f>
        <v>264014.43348038831</v>
      </c>
    </row>
    <row r="7" spans="1:4">
      <c r="B7" s="73">
        <f>B6*12</f>
        <v>3046103</v>
      </c>
      <c r="C7" s="73">
        <f>C6*8</f>
        <v>2080082.2019333334</v>
      </c>
      <c r="D7" s="73">
        <f>D6*10.5</f>
        <v>2772151.5515440772</v>
      </c>
    </row>
    <row r="9" spans="1:4">
      <c r="A9" t="s">
        <v>290</v>
      </c>
    </row>
    <row r="10" spans="1:4">
      <c r="B10">
        <v>2012</v>
      </c>
      <c r="C10">
        <v>2013</v>
      </c>
      <c r="D10">
        <v>2014</v>
      </c>
    </row>
    <row r="11" spans="1:4">
      <c r="A11" t="s">
        <v>286</v>
      </c>
      <c r="B11" s="72">
        <v>2713801</v>
      </c>
      <c r="C11" s="73">
        <f>B11+(B11*B12)</f>
        <v>2779746.3643</v>
      </c>
      <c r="D11" s="73">
        <f>C11+(C11*C12)</f>
        <v>2822554.4583102199</v>
      </c>
    </row>
    <row r="12" spans="1:4">
      <c r="A12" t="s">
        <v>287</v>
      </c>
      <c r="B12" s="74">
        <v>2.4299999999999999E-2</v>
      </c>
      <c r="C12" s="74">
        <v>1.54E-2</v>
      </c>
    </row>
    <row r="14" spans="1:4">
      <c r="B14" s="73">
        <f>B11/12</f>
        <v>226150.08333333334</v>
      </c>
      <c r="C14" s="73">
        <f>C11/12</f>
        <v>231645.53035833334</v>
      </c>
      <c r="D14" s="73">
        <f>D11/12</f>
        <v>235212.87152585166</v>
      </c>
    </row>
    <row r="15" spans="1:4">
      <c r="B15" s="73">
        <f>B14*12</f>
        <v>2713801</v>
      </c>
      <c r="C15" s="73">
        <f>C14*8</f>
        <v>1853164.2428666668</v>
      </c>
      <c r="D15" s="73">
        <f>D14*10.5</f>
        <v>2469735.1510214424</v>
      </c>
    </row>
    <row r="17" spans="1:9">
      <c r="A17" t="s">
        <v>291</v>
      </c>
    </row>
    <row r="18" spans="1:9">
      <c r="B18">
        <v>2009</v>
      </c>
      <c r="C18">
        <v>2010</v>
      </c>
      <c r="D18">
        <v>2011</v>
      </c>
      <c r="E18">
        <v>2012</v>
      </c>
      <c r="F18">
        <v>2013</v>
      </c>
      <c r="G18">
        <v>2014</v>
      </c>
    </row>
    <row r="19" spans="1:9">
      <c r="A19" t="s">
        <v>286</v>
      </c>
      <c r="B19" s="72">
        <v>692277</v>
      </c>
      <c r="C19" s="72">
        <v>791123</v>
      </c>
      <c r="D19" s="72">
        <v>890169</v>
      </c>
      <c r="E19" s="72">
        <v>988965</v>
      </c>
      <c r="F19" s="73">
        <v>988965</v>
      </c>
      <c r="G19" s="73">
        <f>F19+(F19*F20)</f>
        <v>1004195.061</v>
      </c>
    </row>
    <row r="20" spans="1:9">
      <c r="A20" t="s">
        <v>287</v>
      </c>
      <c r="B20" s="74">
        <v>-2.3E-3</v>
      </c>
      <c r="C20" s="74">
        <v>2.0400000000000001E-2</v>
      </c>
      <c r="D20" s="74">
        <v>3.0499999999999999E-2</v>
      </c>
      <c r="E20" s="74">
        <v>2.4299999999999999E-2</v>
      </c>
      <c r="F20" s="74">
        <v>1.54E-2</v>
      </c>
    </row>
    <row r="22" spans="1:9">
      <c r="B22" s="72">
        <v>988965</v>
      </c>
      <c r="C22" s="73">
        <f>B22+(B22*B23)</f>
        <v>986690.38049999997</v>
      </c>
      <c r="D22" s="73">
        <f>C22+(C22*C23)</f>
        <v>1006818.8642622</v>
      </c>
      <c r="E22" s="73">
        <f>D22+(D22*D23)</f>
        <v>1037526.8396221971</v>
      </c>
      <c r="F22" s="73">
        <f>E22+(E22*E23)</f>
        <v>1062738.7418250164</v>
      </c>
      <c r="G22" s="73">
        <f>F22+(F22*F23)</f>
        <v>1079104.9184491218</v>
      </c>
    </row>
    <row r="23" spans="1:9">
      <c r="B23" s="74">
        <v>-2.3E-3</v>
      </c>
      <c r="C23" s="74">
        <v>2.0400000000000001E-2</v>
      </c>
      <c r="D23" s="74">
        <v>3.0499999999999999E-2</v>
      </c>
      <c r="E23" s="74">
        <v>2.4299999999999999E-2</v>
      </c>
      <c r="F23" s="74">
        <v>1.54E-2</v>
      </c>
    </row>
    <row r="25" spans="1:9">
      <c r="A25" t="s">
        <v>293</v>
      </c>
    </row>
    <row r="26" spans="1:9">
      <c r="B26">
        <v>2013</v>
      </c>
      <c r="C26">
        <v>2014</v>
      </c>
    </row>
    <row r="27" spans="1:9">
      <c r="A27" t="s">
        <v>286</v>
      </c>
      <c r="B27" s="73">
        <v>1495209</v>
      </c>
      <c r="C27" s="73">
        <f>B27+(B27*B28)</f>
        <v>1518235.2186</v>
      </c>
    </row>
    <row r="28" spans="1:9">
      <c r="A28" t="s">
        <v>287</v>
      </c>
      <c r="B28" s="74">
        <v>1.54E-2</v>
      </c>
    </row>
    <row r="30" spans="1:9">
      <c r="A30" t="s">
        <v>295</v>
      </c>
    </row>
    <row r="31" spans="1:9">
      <c r="B31">
        <v>2009</v>
      </c>
      <c r="C31">
        <v>2010</v>
      </c>
      <c r="D31">
        <v>2011</v>
      </c>
      <c r="E31">
        <v>2012</v>
      </c>
      <c r="F31">
        <v>2013</v>
      </c>
      <c r="G31">
        <v>2014</v>
      </c>
      <c r="H31" s="88" t="s">
        <v>299</v>
      </c>
    </row>
    <row r="32" spans="1:9">
      <c r="A32" t="s">
        <v>296</v>
      </c>
      <c r="B32" s="72">
        <v>1001143</v>
      </c>
      <c r="C32" s="73">
        <f>B32+(B32*B33)</f>
        <v>998840.37109999999</v>
      </c>
      <c r="D32" s="73">
        <f>C32+(C32*C33)</f>
        <v>1019216.7146704399</v>
      </c>
      <c r="E32" s="73">
        <f>D32+(D32*D33)</f>
        <v>1050302.8244678883</v>
      </c>
      <c r="F32" s="73">
        <f>E32+(E32*E33)</f>
        <v>1075825.183102458</v>
      </c>
      <c r="G32" s="73">
        <f>F32+(F32*F33)</f>
        <v>1092392.8909222358</v>
      </c>
      <c r="H32" s="73">
        <f>G32/12</f>
        <v>91032.740910186316</v>
      </c>
      <c r="I32" s="73">
        <f>(H32*8)+(H33*4)</f>
        <v>910327.40910186316</v>
      </c>
    </row>
    <row r="33" spans="1:9">
      <c r="A33" t="s">
        <v>287</v>
      </c>
      <c r="B33" s="74">
        <v>-2.3E-3</v>
      </c>
      <c r="C33" s="74">
        <v>2.0400000000000001E-2</v>
      </c>
      <c r="D33" s="74">
        <v>3.0499999999999999E-2</v>
      </c>
      <c r="E33" s="74">
        <v>2.4299999999999999E-2</v>
      </c>
      <c r="F33" s="74">
        <v>1.54E-2</v>
      </c>
      <c r="H33" s="73">
        <f>H32/2</f>
        <v>45516.370455093158</v>
      </c>
    </row>
    <row r="35" spans="1:9">
      <c r="A35" t="s">
        <v>274</v>
      </c>
      <c r="B35" s="72">
        <v>776347</v>
      </c>
      <c r="C35" s="73">
        <v>928907</v>
      </c>
      <c r="D35" s="73">
        <v>636439</v>
      </c>
      <c r="E35" s="73">
        <v>742905</v>
      </c>
      <c r="F35" s="73">
        <v>684933</v>
      </c>
      <c r="G35" s="73">
        <v>726269</v>
      </c>
    </row>
    <row r="36" spans="1:9">
      <c r="A36" t="s">
        <v>297</v>
      </c>
      <c r="B36" s="72">
        <v>325000</v>
      </c>
      <c r="C36" s="73">
        <v>325000</v>
      </c>
      <c r="D36" s="73">
        <v>325000</v>
      </c>
      <c r="E36" s="73">
        <v>325000</v>
      </c>
      <c r="F36" s="73">
        <v>325000</v>
      </c>
      <c r="G36" s="73">
        <v>325000</v>
      </c>
      <c r="H36" s="73">
        <f>G36/12</f>
        <v>27083.333333333332</v>
      </c>
      <c r="I36" s="73">
        <f>(H36*8)+(H37*4)</f>
        <v>270833.33333333331</v>
      </c>
    </row>
    <row r="37" spans="1:9">
      <c r="E37" s="73">
        <v>200000</v>
      </c>
      <c r="F37" s="73">
        <v>200000</v>
      </c>
      <c r="H37" s="73">
        <f>H36/2</f>
        <v>13541.666666666666</v>
      </c>
    </row>
    <row r="38" spans="1:9">
      <c r="A38" t="s">
        <v>298</v>
      </c>
      <c r="B38" s="73">
        <f>B36+B32</f>
        <v>1326143</v>
      </c>
      <c r="C38" s="73">
        <f>C36+C32</f>
        <v>1323840.3711000001</v>
      </c>
      <c r="D38" s="73">
        <f>D36+D32</f>
        <v>1344216.7146704399</v>
      </c>
      <c r="E38" s="73">
        <f>E36+E32-E37</f>
        <v>1175302.8244678883</v>
      </c>
      <c r="F38" s="73">
        <f>F36+F32-F37</f>
        <v>1200825.183102458</v>
      </c>
      <c r="G38" s="86">
        <f>G36+G32</f>
        <v>1417392.8909222358</v>
      </c>
    </row>
    <row r="39" spans="1:9">
      <c r="G39" s="86">
        <f>(G38/12)</f>
        <v>118116.07424351964</v>
      </c>
    </row>
    <row r="40" spans="1:9">
      <c r="G40" s="86">
        <f>G38-((G39/2)*4)</f>
        <v>1181160.7424351964</v>
      </c>
      <c r="I40" s="73">
        <f>I36+I32</f>
        <v>1181160.7424351964</v>
      </c>
    </row>
    <row r="41" spans="1:9">
      <c r="G41" s="86"/>
    </row>
    <row r="42" spans="1:9">
      <c r="A42" t="s">
        <v>1073</v>
      </c>
      <c r="G42" s="87"/>
    </row>
    <row r="43" spans="1:9">
      <c r="B43">
        <v>2013</v>
      </c>
      <c r="C43">
        <v>2014</v>
      </c>
    </row>
    <row r="44" spans="1:9">
      <c r="A44" t="s">
        <v>286</v>
      </c>
      <c r="B44" s="73">
        <v>3332045</v>
      </c>
      <c r="C44" s="73">
        <f>B44+(B44*B45)</f>
        <v>3383358.4929999998</v>
      </c>
    </row>
    <row r="45" spans="1:9">
      <c r="A45" t="s">
        <v>287</v>
      </c>
      <c r="B45" s="74">
        <v>1.54E-2</v>
      </c>
    </row>
    <row r="47" spans="1:9">
      <c r="A47" t="s">
        <v>291</v>
      </c>
    </row>
    <row r="48" spans="1:9">
      <c r="B48">
        <v>2009</v>
      </c>
      <c r="C48">
        <v>2010</v>
      </c>
      <c r="D48">
        <v>2011</v>
      </c>
      <c r="E48">
        <v>2012</v>
      </c>
      <c r="F48">
        <v>2013</v>
      </c>
      <c r="G48">
        <v>2014</v>
      </c>
    </row>
    <row r="49" spans="1:7">
      <c r="A49" t="s">
        <v>286</v>
      </c>
      <c r="B49" s="72">
        <v>1099907</v>
      </c>
      <c r="C49" s="72">
        <v>1103774</v>
      </c>
      <c r="D49" s="73">
        <f>C49+(C49*C50)</f>
        <v>1126290.9896</v>
      </c>
      <c r="E49" s="73">
        <f>D49+(D49*D50)</f>
        <v>1160642.8647828</v>
      </c>
      <c r="F49" s="73">
        <f>E49+(E49*E50)</f>
        <v>1188846.4863970219</v>
      </c>
      <c r="G49" s="73">
        <f>F49+(F49*F50)</f>
        <v>1207154.7222875361</v>
      </c>
    </row>
    <row r="50" spans="1:7">
      <c r="A50" t="s">
        <v>287</v>
      </c>
      <c r="B50" s="74"/>
      <c r="C50" s="74">
        <v>2.0400000000000001E-2</v>
      </c>
      <c r="D50" s="74">
        <v>3.0499999999999999E-2</v>
      </c>
      <c r="E50" s="74">
        <v>2.4299999999999999E-2</v>
      </c>
      <c r="F50" s="74">
        <v>1.54E-2</v>
      </c>
    </row>
    <row r="52" spans="1:7">
      <c r="A52" t="s">
        <v>1077</v>
      </c>
    </row>
    <row r="53" spans="1:7">
      <c r="B53">
        <v>2013</v>
      </c>
      <c r="C53">
        <v>2014</v>
      </c>
    </row>
    <row r="54" spans="1:7">
      <c r="A54" t="s">
        <v>286</v>
      </c>
      <c r="B54" s="73">
        <v>293072</v>
      </c>
      <c r="C54" s="73">
        <f>B54+(B54*B55)</f>
        <v>297585.3088</v>
      </c>
    </row>
    <row r="55" spans="1:7">
      <c r="A55" t="s">
        <v>287</v>
      </c>
      <c r="B55" s="74">
        <v>1.54E-2</v>
      </c>
    </row>
    <row r="57" spans="1:7">
      <c r="A57" t="s">
        <v>1078</v>
      </c>
    </row>
    <row r="58" spans="1:7">
      <c r="B58">
        <v>2012</v>
      </c>
      <c r="C58">
        <v>2013</v>
      </c>
      <c r="D58">
        <v>2014</v>
      </c>
    </row>
    <row r="59" spans="1:7">
      <c r="A59" t="s">
        <v>286</v>
      </c>
      <c r="B59" s="73">
        <v>818269.52</v>
      </c>
      <c r="C59" s="73">
        <f>B59+(B59*B60)</f>
        <v>830870.87060799997</v>
      </c>
      <c r="D59" s="73">
        <f>C59+(C59*C60)</f>
        <v>843666.28201536322</v>
      </c>
    </row>
    <row r="60" spans="1:7">
      <c r="A60" t="s">
        <v>287</v>
      </c>
      <c r="B60" s="74">
        <v>1.54E-2</v>
      </c>
      <c r="C60" s="74">
        <v>1.54E-2</v>
      </c>
    </row>
    <row r="62" spans="1:7">
      <c r="A62" t="s">
        <v>1081</v>
      </c>
    </row>
    <row r="63" spans="1:7">
      <c r="B63">
        <v>2012</v>
      </c>
      <c r="C63">
        <v>2013</v>
      </c>
      <c r="D63">
        <v>2014</v>
      </c>
      <c r="E63">
        <v>2015</v>
      </c>
    </row>
    <row r="64" spans="1:7">
      <c r="A64" t="s">
        <v>286</v>
      </c>
      <c r="B64" s="73">
        <v>757837</v>
      </c>
      <c r="C64" s="73">
        <f>B64+(B64*B65)</f>
        <v>776252.43909999996</v>
      </c>
      <c r="D64" s="73">
        <f>C64+(C64*C65)</f>
        <v>788206.72666213999</v>
      </c>
      <c r="E64" s="73">
        <f>D64+(D64*D65)</f>
        <v>800345.11025273695</v>
      </c>
    </row>
    <row r="65" spans="1:5">
      <c r="A65" t="s">
        <v>287</v>
      </c>
      <c r="B65" s="74">
        <v>2.4299999999999999E-2</v>
      </c>
      <c r="C65" s="74">
        <v>1.54E-2</v>
      </c>
      <c r="D65" s="133">
        <f>C65</f>
        <v>1.54E-2</v>
      </c>
      <c r="E65">
        <f>+E64/12</f>
        <v>66695.425854394751</v>
      </c>
    </row>
    <row r="67" spans="1:5">
      <c r="A67" t="s">
        <v>1079</v>
      </c>
      <c r="B67" s="73">
        <f>B64-(B64*15%)</f>
        <v>644161.44999999995</v>
      </c>
    </row>
    <row r="69" spans="1:5">
      <c r="A69" t="s">
        <v>1090</v>
      </c>
    </row>
    <row r="70" spans="1:5">
      <c r="B70">
        <v>2013</v>
      </c>
      <c r="C70">
        <v>2014</v>
      </c>
    </row>
    <row r="71" spans="1:5">
      <c r="A71" t="s">
        <v>286</v>
      </c>
      <c r="B71" s="73">
        <v>250000</v>
      </c>
      <c r="C71" s="73">
        <f>B71+(B71*B72)</f>
        <v>253850</v>
      </c>
    </row>
    <row r="72" spans="1:5">
      <c r="A72" t="s">
        <v>287</v>
      </c>
      <c r="B72" s="74">
        <v>1.54E-2</v>
      </c>
    </row>
    <row r="74" spans="1:5">
      <c r="A74" t="s">
        <v>1082</v>
      </c>
    </row>
    <row r="75" spans="1:5">
      <c r="B75">
        <v>2013</v>
      </c>
      <c r="C75">
        <v>2014</v>
      </c>
    </row>
    <row r="76" spans="1:5">
      <c r="A76" t="s">
        <v>286</v>
      </c>
      <c r="B76" s="73">
        <v>181125</v>
      </c>
      <c r="C76" s="73">
        <f>B76+(B76*B77)</f>
        <v>183914.32500000001</v>
      </c>
    </row>
    <row r="77" spans="1:5">
      <c r="A77" t="s">
        <v>287</v>
      </c>
      <c r="B77" s="74">
        <v>1.54E-2</v>
      </c>
    </row>
    <row r="79" spans="1:5">
      <c r="A79" t="s">
        <v>1083</v>
      </c>
    </row>
    <row r="80" spans="1:5">
      <c r="B80">
        <v>2013</v>
      </c>
      <c r="C80">
        <v>2014</v>
      </c>
      <c r="D80">
        <v>2015</v>
      </c>
      <c r="E80">
        <v>2016</v>
      </c>
    </row>
    <row r="81" spans="1:5">
      <c r="A81" t="s">
        <v>286</v>
      </c>
      <c r="B81" s="73">
        <v>4004358.27</v>
      </c>
      <c r="C81" s="73">
        <f>B81+(B81*B82)</f>
        <v>4066025.387358</v>
      </c>
      <c r="D81" s="73">
        <f>C81+(C81*C82)</f>
        <v>4128642.1783233131</v>
      </c>
      <c r="E81" s="73">
        <f>D81+(D81*D82)</f>
        <v>4192223.2678694921</v>
      </c>
    </row>
    <row r="82" spans="1:5">
      <c r="A82" t="s">
        <v>287</v>
      </c>
      <c r="B82" s="74">
        <v>1.54E-2</v>
      </c>
      <c r="C82" s="74">
        <v>1.54E-2</v>
      </c>
      <c r="D82" s="74">
        <v>1.54E-2</v>
      </c>
    </row>
    <row r="83" spans="1:5">
      <c r="C83" s="73">
        <f>C81-(C81*5%)</f>
        <v>3862724.1179900998</v>
      </c>
      <c r="D83" s="73">
        <f>D81-(D81*5%)</f>
        <v>3922210.0694071474</v>
      </c>
    </row>
    <row r="85" spans="1:5">
      <c r="A85" t="s">
        <v>354</v>
      </c>
    </row>
    <row r="86" spans="1:5">
      <c r="B86">
        <v>2013</v>
      </c>
      <c r="C86">
        <v>2014</v>
      </c>
    </row>
    <row r="87" spans="1:5">
      <c r="A87" t="s">
        <v>286</v>
      </c>
      <c r="B87" s="73">
        <v>360000</v>
      </c>
      <c r="C87" s="73">
        <f>B87+(B87*B88)</f>
        <v>365544</v>
      </c>
    </row>
    <row r="88" spans="1:5">
      <c r="A88" t="s">
        <v>287</v>
      </c>
      <c r="B88" s="74">
        <v>1.54E-2</v>
      </c>
    </row>
    <row r="90" spans="1:5">
      <c r="A90" t="s">
        <v>1085</v>
      </c>
    </row>
    <row r="91" spans="1:5">
      <c r="B91">
        <v>2013</v>
      </c>
      <c r="C91">
        <v>2014</v>
      </c>
    </row>
    <row r="92" spans="1:5">
      <c r="A92" t="s">
        <v>286</v>
      </c>
      <c r="B92" s="73">
        <v>883642</v>
      </c>
      <c r="C92" s="73">
        <f>B92+(B92*B93)</f>
        <v>897250.08680000005</v>
      </c>
    </row>
    <row r="93" spans="1:5">
      <c r="A93" t="s">
        <v>287</v>
      </c>
      <c r="B93" s="74">
        <v>1.54E-2</v>
      </c>
    </row>
    <row r="95" spans="1:5">
      <c r="A95" t="s">
        <v>1087</v>
      </c>
    </row>
    <row r="96" spans="1:5">
      <c r="B96">
        <v>2013</v>
      </c>
      <c r="C96">
        <v>2014</v>
      </c>
    </row>
    <row r="97" spans="1:4">
      <c r="A97" t="s">
        <v>286</v>
      </c>
      <c r="B97" s="73">
        <v>670000</v>
      </c>
      <c r="C97" s="73">
        <f>B97+(B97*B98)</f>
        <v>680318</v>
      </c>
    </row>
    <row r="98" spans="1:4">
      <c r="A98" t="s">
        <v>287</v>
      </c>
      <c r="B98" s="74">
        <v>1.54E-2</v>
      </c>
    </row>
    <row r="100" spans="1:4">
      <c r="A100" t="s">
        <v>1088</v>
      </c>
    </row>
    <row r="101" spans="1:4">
      <c r="B101">
        <v>2012</v>
      </c>
      <c r="C101">
        <v>2013</v>
      </c>
      <c r="D101">
        <v>2014</v>
      </c>
    </row>
    <row r="102" spans="1:4">
      <c r="A102" t="s">
        <v>286</v>
      </c>
      <c r="B102" s="73">
        <v>1606158</v>
      </c>
      <c r="C102" s="73">
        <f>B102+(B102*B103)</f>
        <v>1645187.6394</v>
      </c>
      <c r="D102" s="73">
        <f>C102+(C102*C103)</f>
        <v>1670523.5290467599</v>
      </c>
    </row>
    <row r="103" spans="1:4">
      <c r="A103" t="s">
        <v>287</v>
      </c>
      <c r="B103" s="74">
        <v>2.4299999999999999E-2</v>
      </c>
      <c r="C103" s="74">
        <v>1.54E-2</v>
      </c>
      <c r="D103" s="74"/>
    </row>
    <row r="105" spans="1:4">
      <c r="A105" t="s">
        <v>1089</v>
      </c>
    </row>
    <row r="106" spans="1:4">
      <c r="B106">
        <v>2013</v>
      </c>
      <c r="C106">
        <v>2014</v>
      </c>
    </row>
    <row r="107" spans="1:4">
      <c r="A107" t="s">
        <v>286</v>
      </c>
      <c r="B107" s="73">
        <v>503925</v>
      </c>
      <c r="C107" s="73">
        <f>B107+(B107*B108)</f>
        <v>511685.44500000001</v>
      </c>
    </row>
    <row r="108" spans="1:4">
      <c r="A108" t="s">
        <v>287</v>
      </c>
      <c r="B108" s="74">
        <v>1.54E-2</v>
      </c>
    </row>
    <row r="110" spans="1:4">
      <c r="A110" t="s">
        <v>1092</v>
      </c>
    </row>
    <row r="111" spans="1:4">
      <c r="B111">
        <v>2013</v>
      </c>
      <c r="C111">
        <v>2014</v>
      </c>
    </row>
    <row r="112" spans="1:4">
      <c r="A112" t="s">
        <v>286</v>
      </c>
      <c r="B112" s="73">
        <v>670000</v>
      </c>
      <c r="C112" s="73">
        <f>B112+(B112*B113)</f>
        <v>680318</v>
      </c>
    </row>
    <row r="113" spans="1:4">
      <c r="A113" t="s">
        <v>287</v>
      </c>
      <c r="B113" s="74">
        <v>1.54E-2</v>
      </c>
    </row>
    <row r="115" spans="1:4">
      <c r="A115" t="s">
        <v>1091</v>
      </c>
    </row>
    <row r="116" spans="1:4">
      <c r="B116">
        <v>2012</v>
      </c>
      <c r="C116">
        <v>2013</v>
      </c>
      <c r="D116">
        <v>2014</v>
      </c>
    </row>
    <row r="117" spans="1:4">
      <c r="A117" t="s">
        <v>286</v>
      </c>
      <c r="B117" s="73">
        <v>590000</v>
      </c>
      <c r="C117" s="73">
        <f>B117+(B117*B118)</f>
        <v>599086</v>
      </c>
      <c r="D117" s="73">
        <f>C117+(C117*C118)</f>
        <v>608311.92440000002</v>
      </c>
    </row>
    <row r="118" spans="1:4">
      <c r="A118" t="s">
        <v>287</v>
      </c>
      <c r="B118" s="74">
        <v>1.54E-2</v>
      </c>
      <c r="C118" s="74">
        <v>1.54E-2</v>
      </c>
    </row>
    <row r="120" spans="1:4">
      <c r="A120" t="s">
        <v>1093</v>
      </c>
    </row>
    <row r="121" spans="1:4">
      <c r="B121">
        <v>2013</v>
      </c>
      <c r="C121">
        <v>2014</v>
      </c>
    </row>
    <row r="122" spans="1:4">
      <c r="A122" t="s">
        <v>286</v>
      </c>
      <c r="B122" s="73">
        <v>200000</v>
      </c>
      <c r="C122" s="73">
        <f>B122+(B122*B123)</f>
        <v>203080</v>
      </c>
    </row>
    <row r="123" spans="1:4">
      <c r="A123" t="s">
        <v>287</v>
      </c>
      <c r="B123" s="74">
        <v>1.54E-2</v>
      </c>
    </row>
    <row r="125" spans="1:4">
      <c r="A125" t="s">
        <v>1096</v>
      </c>
    </row>
    <row r="126" spans="1:4">
      <c r="B126">
        <v>2013</v>
      </c>
      <c r="C126">
        <v>2014</v>
      </c>
    </row>
    <row r="127" spans="1:4">
      <c r="A127" t="s">
        <v>286</v>
      </c>
      <c r="B127" s="73">
        <v>2465591</v>
      </c>
      <c r="C127" s="73">
        <f>B127+(B127*B128)</f>
        <v>2503561.1014</v>
      </c>
    </row>
    <row r="128" spans="1:4">
      <c r="A128" t="s">
        <v>287</v>
      </c>
      <c r="B128" s="74">
        <v>1.54E-2</v>
      </c>
    </row>
    <row r="130" spans="1:8">
      <c r="A130" t="s">
        <v>1097</v>
      </c>
    </row>
    <row r="131" spans="1:8">
      <c r="B131">
        <v>2013</v>
      </c>
      <c r="C131">
        <v>2014</v>
      </c>
    </row>
    <row r="132" spans="1:8">
      <c r="A132" t="s">
        <v>286</v>
      </c>
      <c r="B132" s="73">
        <v>1421314</v>
      </c>
      <c r="C132" s="73">
        <f>B132+(B132*B133)</f>
        <v>1443202.2356</v>
      </c>
    </row>
    <row r="133" spans="1:8">
      <c r="A133" t="s">
        <v>287</v>
      </c>
      <c r="B133" s="74">
        <v>1.54E-2</v>
      </c>
    </row>
    <row r="135" spans="1:8">
      <c r="A135" t="s">
        <v>1098</v>
      </c>
    </row>
    <row r="136" spans="1:8">
      <c r="B136">
        <v>2013</v>
      </c>
      <c r="C136">
        <v>2014</v>
      </c>
    </row>
    <row r="137" spans="1:8">
      <c r="A137" t="s">
        <v>286</v>
      </c>
      <c r="B137" s="73">
        <v>334400</v>
      </c>
      <c r="C137" s="73">
        <f>B137+(B137*B138)</f>
        <v>339549.76</v>
      </c>
    </row>
    <row r="138" spans="1:8">
      <c r="A138" t="s">
        <v>287</v>
      </c>
      <c r="B138" s="74">
        <v>1.54E-2</v>
      </c>
    </row>
    <row r="140" spans="1:8">
      <c r="A140" t="s">
        <v>1098</v>
      </c>
    </row>
    <row r="141" spans="1:8">
      <c r="B141">
        <v>2008</v>
      </c>
      <c r="C141">
        <v>2009</v>
      </c>
      <c r="D141">
        <v>2010</v>
      </c>
      <c r="E141">
        <v>2011</v>
      </c>
      <c r="F141">
        <v>2012</v>
      </c>
      <c r="G141">
        <v>2013</v>
      </c>
      <c r="H141">
        <v>2014</v>
      </c>
    </row>
    <row r="142" spans="1:8">
      <c r="A142" t="s">
        <v>286</v>
      </c>
      <c r="B142" s="73">
        <v>514049</v>
      </c>
      <c r="C142" s="73">
        <f t="shared" ref="C142:H142" si="0">B142+(B142*B143)</f>
        <v>535330.62860000005</v>
      </c>
      <c r="D142" s="73">
        <f t="shared" si="0"/>
        <v>534099.36815422005</v>
      </c>
      <c r="E142" s="73">
        <f t="shared" si="0"/>
        <v>544994.99526456615</v>
      </c>
      <c r="F142" s="73">
        <f t="shared" si="0"/>
        <v>561617.3426201354</v>
      </c>
      <c r="G142" s="73">
        <f t="shared" si="0"/>
        <v>575264.64404580474</v>
      </c>
      <c r="H142" s="73">
        <f t="shared" si="0"/>
        <v>584123.71956411016</v>
      </c>
    </row>
    <row r="143" spans="1:8">
      <c r="A143" t="s">
        <v>287</v>
      </c>
      <c r="B143" s="74">
        <v>4.1399999999999999E-2</v>
      </c>
      <c r="C143" s="74">
        <v>-2.3E-3</v>
      </c>
      <c r="D143" s="74">
        <v>2.0400000000000001E-2</v>
      </c>
      <c r="E143" s="74">
        <v>3.0499999999999999E-2</v>
      </c>
      <c r="F143" s="74">
        <v>2.4299999999999999E-2</v>
      </c>
      <c r="G143" s="74">
        <v>1.54E-2</v>
      </c>
    </row>
    <row r="145" spans="1:5">
      <c r="A145" t="s">
        <v>1099</v>
      </c>
    </row>
    <row r="146" spans="1:5">
      <c r="B146">
        <v>2011</v>
      </c>
      <c r="C146">
        <v>2012</v>
      </c>
      <c r="D146">
        <v>2013</v>
      </c>
      <c r="E146">
        <v>2014</v>
      </c>
    </row>
    <row r="147" spans="1:5">
      <c r="A147" t="s">
        <v>286</v>
      </c>
      <c r="B147" s="73">
        <v>1900000</v>
      </c>
      <c r="C147" s="73">
        <f>B147+(B147*B148)</f>
        <v>1957950</v>
      </c>
      <c r="D147" s="73">
        <f>C147+(C147*C148)</f>
        <v>2005528.1850000001</v>
      </c>
      <c r="E147" s="73">
        <f>D147+(D147*D148)</f>
        <v>2036413.319049</v>
      </c>
    </row>
    <row r="148" spans="1:5">
      <c r="A148" t="s">
        <v>287</v>
      </c>
      <c r="B148" s="74">
        <v>3.0499999999999999E-2</v>
      </c>
      <c r="C148" s="74">
        <v>2.4299999999999999E-2</v>
      </c>
      <c r="D148" s="74">
        <v>1.54E-2</v>
      </c>
    </row>
    <row r="150" spans="1:5">
      <c r="A150" t="s">
        <v>1100</v>
      </c>
    </row>
    <row r="151" spans="1:5">
      <c r="B151">
        <v>2013</v>
      </c>
      <c r="C151">
        <v>2014</v>
      </c>
    </row>
    <row r="152" spans="1:5">
      <c r="A152" t="s">
        <v>286</v>
      </c>
      <c r="B152" s="73">
        <v>997003</v>
      </c>
      <c r="C152" s="73">
        <f>B152+(B152*B153)</f>
        <v>1012356.8462</v>
      </c>
    </row>
    <row r="153" spans="1:5">
      <c r="A153" t="s">
        <v>287</v>
      </c>
      <c r="B153" s="74">
        <v>1.54E-2</v>
      </c>
    </row>
    <row r="155" spans="1:5">
      <c r="A155" t="s">
        <v>1101</v>
      </c>
    </row>
    <row r="156" spans="1:5">
      <c r="B156">
        <v>2013</v>
      </c>
      <c r="C156">
        <v>2014</v>
      </c>
    </row>
    <row r="157" spans="1:5">
      <c r="A157" t="s">
        <v>286</v>
      </c>
      <c r="B157" s="73">
        <v>1340115</v>
      </c>
      <c r="C157" s="73">
        <f>B157+(B157*B158)</f>
        <v>1360752.7709999999</v>
      </c>
    </row>
    <row r="158" spans="1:5">
      <c r="A158" t="s">
        <v>287</v>
      </c>
      <c r="B158" s="74">
        <v>1.54E-2</v>
      </c>
    </row>
    <row r="160" spans="1:5">
      <c r="A160" t="s">
        <v>1098</v>
      </c>
    </row>
    <row r="161" spans="1:5">
      <c r="B161">
        <v>2012</v>
      </c>
      <c r="C161">
        <v>2013</v>
      </c>
      <c r="D161">
        <v>2014</v>
      </c>
    </row>
    <row r="162" spans="1:5">
      <c r="A162" t="s">
        <v>286</v>
      </c>
      <c r="B162" s="73">
        <v>348000</v>
      </c>
      <c r="C162" s="73">
        <f>B162+(B162*(B163/2))</f>
        <v>352228.2</v>
      </c>
      <c r="D162" s="73">
        <f>C162+(C162*(C163/2))</f>
        <v>354940.35714000004</v>
      </c>
      <c r="E162" s="73"/>
    </row>
    <row r="163" spans="1:5">
      <c r="A163" t="s">
        <v>287</v>
      </c>
      <c r="B163" s="74">
        <v>2.4299999999999999E-2</v>
      </c>
      <c r="C163" s="74">
        <v>1.54E-2</v>
      </c>
      <c r="E163" s="74"/>
    </row>
    <row r="165" spans="1:5">
      <c r="A165" t="s">
        <v>327</v>
      </c>
      <c r="D165" s="73"/>
    </row>
    <row r="166" spans="1:5">
      <c r="B166">
        <v>2013</v>
      </c>
      <c r="C166">
        <v>2014</v>
      </c>
    </row>
    <row r="167" spans="1:5">
      <c r="A167" t="s">
        <v>286</v>
      </c>
      <c r="B167" s="73">
        <v>268530</v>
      </c>
      <c r="C167" s="73">
        <f>B167+(B167*B168)</f>
        <v>272665.36200000002</v>
      </c>
    </row>
    <row r="168" spans="1:5">
      <c r="A168" t="s">
        <v>287</v>
      </c>
      <c r="B168" s="74">
        <v>1.54E-2</v>
      </c>
    </row>
    <row r="170" spans="1:5">
      <c r="A170" t="s">
        <v>365</v>
      </c>
    </row>
    <row r="171" spans="1:5">
      <c r="B171">
        <v>2013</v>
      </c>
      <c r="C171">
        <v>2014</v>
      </c>
    </row>
    <row r="172" spans="1:5">
      <c r="A172" t="s">
        <v>286</v>
      </c>
      <c r="B172" s="73">
        <v>1020273</v>
      </c>
      <c r="C172" s="73">
        <f>B172+(B172*B173)</f>
        <v>1035985.2042</v>
      </c>
    </row>
    <row r="173" spans="1:5">
      <c r="A173" t="s">
        <v>287</v>
      </c>
      <c r="B173" s="74">
        <v>1.54E-2</v>
      </c>
    </row>
    <row r="175" spans="1:5">
      <c r="A175" t="s">
        <v>1102</v>
      </c>
    </row>
    <row r="176" spans="1:5">
      <c r="B176">
        <v>2012</v>
      </c>
      <c r="C176">
        <v>2013</v>
      </c>
      <c r="D176">
        <v>2014</v>
      </c>
      <c r="E176">
        <v>2015</v>
      </c>
    </row>
    <row r="177" spans="1:5">
      <c r="A177" t="s">
        <v>286</v>
      </c>
      <c r="B177" s="73">
        <v>663420</v>
      </c>
      <c r="C177" s="73">
        <f>B177+(B177*(B178/2))</f>
        <v>671480.55299999996</v>
      </c>
      <c r="D177" s="73">
        <f>C177+(C177*(C178/2))</f>
        <v>676650.95325809997</v>
      </c>
      <c r="E177" s="73">
        <f>D177+(D177*(D178/2))</f>
        <v>681861.16559818736</v>
      </c>
    </row>
    <row r="178" spans="1:5">
      <c r="A178" t="s">
        <v>287</v>
      </c>
      <c r="B178" s="74">
        <v>2.4299999999999999E-2</v>
      </c>
      <c r="C178" s="74">
        <v>1.54E-2</v>
      </c>
      <c r="D178" s="74">
        <v>1.54E-2</v>
      </c>
    </row>
    <row r="180" spans="1:5">
      <c r="A180" t="s">
        <v>1103</v>
      </c>
    </row>
    <row r="181" spans="1:5">
      <c r="B181">
        <v>2013</v>
      </c>
      <c r="C181">
        <v>2014</v>
      </c>
    </row>
    <row r="182" spans="1:5">
      <c r="A182" t="s">
        <v>286</v>
      </c>
      <c r="B182" s="73">
        <v>236309</v>
      </c>
      <c r="C182" s="73">
        <f>B182+(B182*B183)</f>
        <v>239948.1586</v>
      </c>
    </row>
    <row r="183" spans="1:5">
      <c r="A183" t="s">
        <v>287</v>
      </c>
      <c r="B183" s="74">
        <v>1.54E-2</v>
      </c>
    </row>
    <row r="185" spans="1:5">
      <c r="A185" t="s">
        <v>1105</v>
      </c>
    </row>
    <row r="186" spans="1:5">
      <c r="B186">
        <v>2013</v>
      </c>
      <c r="C186">
        <v>2014</v>
      </c>
    </row>
    <row r="187" spans="1:5">
      <c r="A187" t="s">
        <v>286</v>
      </c>
      <c r="B187" s="73">
        <v>311474</v>
      </c>
      <c r="C187" s="73">
        <f>B187+(B187*B188)</f>
        <v>316270.69959999999</v>
      </c>
    </row>
    <row r="188" spans="1:5">
      <c r="A188" t="s">
        <v>287</v>
      </c>
      <c r="B188" s="74">
        <v>1.54E-2</v>
      </c>
    </row>
    <row r="190" spans="1:5">
      <c r="A190" t="s">
        <v>1107</v>
      </c>
    </row>
    <row r="191" spans="1:5">
      <c r="B191">
        <v>2013</v>
      </c>
      <c r="C191">
        <v>2014</v>
      </c>
    </row>
    <row r="192" spans="1:5">
      <c r="A192" t="s">
        <v>286</v>
      </c>
      <c r="B192" s="73">
        <v>1737634</v>
      </c>
      <c r="C192" s="73">
        <f>B192+(B192*B193)</f>
        <v>1764393.5636</v>
      </c>
    </row>
    <row r="193" spans="1:6">
      <c r="A193" t="s">
        <v>287</v>
      </c>
      <c r="B193" s="74">
        <v>1.54E-2</v>
      </c>
    </row>
    <row r="195" spans="1:6">
      <c r="A195" t="s">
        <v>1115</v>
      </c>
    </row>
    <row r="196" spans="1:6">
      <c r="B196">
        <v>2013</v>
      </c>
      <c r="C196">
        <v>2014</v>
      </c>
      <c r="D196">
        <v>2015</v>
      </c>
      <c r="E196">
        <v>2016</v>
      </c>
      <c r="F196">
        <v>2017</v>
      </c>
    </row>
    <row r="197" spans="1:6">
      <c r="A197" t="s">
        <v>1116</v>
      </c>
      <c r="B197" s="86">
        <f>11306*12</f>
        <v>135672</v>
      </c>
      <c r="C197" s="86">
        <f>11306*12</f>
        <v>135672</v>
      </c>
      <c r="D197" s="86">
        <f>11306*12</f>
        <v>135672</v>
      </c>
      <c r="E197" s="86">
        <f>11306*12</f>
        <v>135672</v>
      </c>
      <c r="F197" s="152" t="s">
        <v>1117</v>
      </c>
    </row>
    <row r="198" spans="1:6">
      <c r="A198" t="s">
        <v>1108</v>
      </c>
      <c r="B198" s="86">
        <f>(2025*12)</f>
        <v>24300</v>
      </c>
      <c r="C198" s="86">
        <f>(2025*10)+(2522*2)</f>
        <v>25294</v>
      </c>
      <c r="D198" s="152" t="s">
        <v>1117</v>
      </c>
      <c r="F198" s="152"/>
    </row>
    <row r="199" spans="1:6">
      <c r="A199" t="s">
        <v>1109</v>
      </c>
      <c r="B199" s="86">
        <f>(2025*12)</f>
        <v>24300</v>
      </c>
      <c r="C199" s="86">
        <f>(2025*10)+(2522*2)</f>
        <v>25294</v>
      </c>
      <c r="D199" s="152" t="s">
        <v>1117</v>
      </c>
    </row>
    <row r="200" spans="1:6">
      <c r="A200" t="s">
        <v>1110</v>
      </c>
      <c r="B200" s="86">
        <f>(10630*12)</f>
        <v>127560</v>
      </c>
      <c r="C200" s="86">
        <f>(10630*10)+(13236*2)</f>
        <v>132772</v>
      </c>
      <c r="D200" s="152" t="s">
        <v>1117</v>
      </c>
    </row>
    <row r="201" spans="1:6">
      <c r="A201" t="s">
        <v>1111</v>
      </c>
      <c r="B201" s="86">
        <f>(37030*12)</f>
        <v>444360</v>
      </c>
      <c r="C201" s="86">
        <f>(37030*10)+(46444*2)</f>
        <v>463188</v>
      </c>
      <c r="D201" s="152" t="s">
        <v>1117</v>
      </c>
    </row>
    <row r="202" spans="1:6">
      <c r="A202" t="s">
        <v>1112</v>
      </c>
      <c r="B202" s="86">
        <f>(5003*12)</f>
        <v>60036</v>
      </c>
      <c r="C202" s="86">
        <f>(5003*10)+(6635*2)</f>
        <v>63300</v>
      </c>
      <c r="D202" s="152" t="s">
        <v>1117</v>
      </c>
    </row>
    <row r="203" spans="1:6">
      <c r="A203" t="s">
        <v>1113</v>
      </c>
      <c r="B203" s="86">
        <f>(5315*12)</f>
        <v>63780</v>
      </c>
      <c r="C203" s="86">
        <f>(5315*10)+(6618*2)</f>
        <v>66386</v>
      </c>
      <c r="D203" s="152" t="s">
        <v>1117</v>
      </c>
    </row>
    <row r="204" spans="1:6">
      <c r="A204" t="s">
        <v>1114</v>
      </c>
      <c r="B204" s="86">
        <f>(5315*12)</f>
        <v>63780</v>
      </c>
      <c r="C204" s="86">
        <f>(5315*10)+(6618*2)</f>
        <v>66386</v>
      </c>
      <c r="D204" s="152" t="s">
        <v>1117</v>
      </c>
    </row>
    <row r="205" spans="1:6">
      <c r="C205" s="73">
        <f>+SUM(C197:C204)</f>
        <v>978292</v>
      </c>
    </row>
    <row r="206" spans="1:6">
      <c r="C206" s="73"/>
    </row>
    <row r="207" spans="1:6">
      <c r="A207" t="s">
        <v>1118</v>
      </c>
    </row>
    <row r="208" spans="1:6">
      <c r="B208">
        <v>2013</v>
      </c>
      <c r="C208">
        <v>2014</v>
      </c>
    </row>
    <row r="209" spans="1:9">
      <c r="A209" t="s">
        <v>286</v>
      </c>
      <c r="B209" s="73">
        <v>1533541</v>
      </c>
      <c r="C209" s="73">
        <f>B209+(B209*B210)</f>
        <v>1557157.5314</v>
      </c>
    </row>
    <row r="210" spans="1:9">
      <c r="A210" t="s">
        <v>287</v>
      </c>
      <c r="B210" s="74">
        <v>1.54E-2</v>
      </c>
    </row>
    <row r="212" spans="1:9">
      <c r="A212" t="s">
        <v>1119</v>
      </c>
    </row>
    <row r="213" spans="1:9">
      <c r="B213">
        <v>2013</v>
      </c>
      <c r="C213">
        <v>2014</v>
      </c>
    </row>
    <row r="214" spans="1:9">
      <c r="A214" t="s">
        <v>286</v>
      </c>
      <c r="B214" s="73">
        <v>875588</v>
      </c>
      <c r="C214" s="73">
        <f>B214+(B214*B215)</f>
        <v>889072.05519999994</v>
      </c>
    </row>
    <row r="215" spans="1:9">
      <c r="A215" t="s">
        <v>287</v>
      </c>
      <c r="B215" s="74">
        <v>1.54E-2</v>
      </c>
    </row>
    <row r="217" spans="1:9">
      <c r="A217" t="s">
        <v>1120</v>
      </c>
    </row>
    <row r="218" spans="1:9">
      <c r="B218">
        <v>2012</v>
      </c>
      <c r="C218">
        <v>2013</v>
      </c>
      <c r="D218">
        <v>2014</v>
      </c>
      <c r="E218">
        <v>2015</v>
      </c>
      <c r="F218">
        <v>2016</v>
      </c>
      <c r="G218">
        <v>2017</v>
      </c>
      <c r="H218">
        <v>2018</v>
      </c>
    </row>
    <row r="219" spans="1:9">
      <c r="A219" t="s">
        <v>286</v>
      </c>
      <c r="B219" s="73">
        <v>226705.75</v>
      </c>
      <c r="C219" s="73">
        <f t="shared" ref="C219:H219" si="1">B219+(B219*(B220/2))</f>
        <v>229460.22486250001</v>
      </c>
      <c r="D219" s="73">
        <f t="shared" si="1"/>
        <v>231227.06859394125</v>
      </c>
      <c r="E219" s="73">
        <f t="shared" si="1"/>
        <v>233007.5170221146</v>
      </c>
      <c r="F219" s="73">
        <f t="shared" si="1"/>
        <v>234801.67490318487</v>
      </c>
      <c r="G219" s="73">
        <f t="shared" si="1"/>
        <v>236609.64779993941</v>
      </c>
      <c r="H219" s="73">
        <f t="shared" si="1"/>
        <v>238431.54208799894</v>
      </c>
    </row>
    <row r="220" spans="1:9">
      <c r="A220" t="s">
        <v>287</v>
      </c>
      <c r="B220" s="74">
        <v>2.4299999999999999E-2</v>
      </c>
      <c r="C220" s="74">
        <v>1.54E-2</v>
      </c>
      <c r="D220" s="74">
        <v>1.54E-2</v>
      </c>
      <c r="E220" s="74">
        <v>1.54E-2</v>
      </c>
      <c r="F220" s="74">
        <v>1.54E-2</v>
      </c>
      <c r="G220" s="74">
        <v>1.54E-2</v>
      </c>
    </row>
    <row r="221" spans="1:9">
      <c r="A221" s="153">
        <f>1000000/3</f>
        <v>333333.33333333331</v>
      </c>
      <c r="E221" s="73">
        <f>6250*12</f>
        <v>75000</v>
      </c>
      <c r="F221" s="73">
        <f>6250*12</f>
        <v>75000</v>
      </c>
      <c r="G221" s="73">
        <f>6250*12</f>
        <v>75000</v>
      </c>
      <c r="H221" s="73">
        <f>6250*12</f>
        <v>75000</v>
      </c>
    </row>
    <row r="223" spans="1:9">
      <c r="A223" t="s">
        <v>1121</v>
      </c>
    </row>
    <row r="224" spans="1:9">
      <c r="B224">
        <v>2011</v>
      </c>
      <c r="C224">
        <v>2012</v>
      </c>
      <c r="D224">
        <v>2013</v>
      </c>
      <c r="E224">
        <v>2014</v>
      </c>
      <c r="F224">
        <v>2015</v>
      </c>
      <c r="G224">
        <v>2016</v>
      </c>
      <c r="H224">
        <v>2017</v>
      </c>
      <c r="I224">
        <v>2018</v>
      </c>
    </row>
    <row r="225" spans="1:9">
      <c r="A225" t="s">
        <v>286</v>
      </c>
      <c r="B225">
        <f>672576+1312594</f>
        <v>1985170</v>
      </c>
      <c r="C225" s="73">
        <f t="shared" ref="C225:I225" si="2">B225+(B225*(B226/2))</f>
        <v>2015443.8425</v>
      </c>
      <c r="D225" s="73">
        <f t="shared" si="2"/>
        <v>2039931.485186375</v>
      </c>
      <c r="E225" s="73">
        <f t="shared" si="2"/>
        <v>2055638.9576223101</v>
      </c>
      <c r="F225" s="73">
        <f t="shared" si="2"/>
        <v>2071467.3775960018</v>
      </c>
      <c r="G225" s="73">
        <f t="shared" si="2"/>
        <v>2087417.6764034911</v>
      </c>
      <c r="H225" s="73">
        <f t="shared" si="2"/>
        <v>2103490.792511798</v>
      </c>
      <c r="I225" s="73">
        <f t="shared" si="2"/>
        <v>2119687.6716141389</v>
      </c>
    </row>
    <row r="226" spans="1:9">
      <c r="A226" t="s">
        <v>287</v>
      </c>
      <c r="B226" s="74">
        <v>3.0499999999999999E-2</v>
      </c>
      <c r="C226" s="74">
        <v>2.4299999999999999E-2</v>
      </c>
      <c r="D226" s="74">
        <v>1.54E-2</v>
      </c>
      <c r="E226" s="74">
        <v>1.54E-2</v>
      </c>
      <c r="F226" s="74">
        <v>1.54E-2</v>
      </c>
      <c r="G226" s="74">
        <v>1.54E-2</v>
      </c>
      <c r="H226" s="74">
        <v>1.54E-2</v>
      </c>
    </row>
    <row r="228" spans="1:9">
      <c r="D228">
        <f>(10000*6)+(18000*6)</f>
        <v>168000</v>
      </c>
      <c r="E228">
        <f>20000*12</f>
        <v>240000</v>
      </c>
      <c r="F228">
        <f>10000*12</f>
        <v>120000</v>
      </c>
      <c r="G228">
        <f>5000*12</f>
        <v>60000</v>
      </c>
    </row>
    <row r="229" spans="1:9">
      <c r="D229" s="73">
        <f>D225-D228</f>
        <v>1871931.485186375</v>
      </c>
      <c r="E229" s="73">
        <f>E225-E228</f>
        <v>1815638.9576223101</v>
      </c>
      <c r="F229" s="73">
        <f>F225-F228</f>
        <v>1951467.3775960018</v>
      </c>
      <c r="G229" s="73">
        <f>G225-G228</f>
        <v>2027417.6764034911</v>
      </c>
    </row>
    <row r="231" spans="1:9">
      <c r="A231" t="s">
        <v>1122</v>
      </c>
    </row>
    <row r="232" spans="1:9">
      <c r="B232">
        <v>2013</v>
      </c>
      <c r="C232">
        <v>2014</v>
      </c>
    </row>
    <row r="233" spans="1:9">
      <c r="A233" t="s">
        <v>286</v>
      </c>
      <c r="B233" s="73">
        <v>411640</v>
      </c>
      <c r="C233" s="73">
        <f>B233+(B233*B234)</f>
        <v>417979.25599999999</v>
      </c>
    </row>
    <row r="234" spans="1:9">
      <c r="A234" t="s">
        <v>287</v>
      </c>
      <c r="B234" s="74">
        <v>1.54E-2</v>
      </c>
    </row>
    <row r="235" spans="1:9">
      <c r="B235" s="73"/>
    </row>
    <row r="236" spans="1:9">
      <c r="A236" t="s">
        <v>1123</v>
      </c>
    </row>
    <row r="237" spans="1:9">
      <c r="B237">
        <v>2013</v>
      </c>
      <c r="C237">
        <v>2014</v>
      </c>
    </row>
    <row r="238" spans="1:9">
      <c r="A238" t="s">
        <v>286</v>
      </c>
      <c r="B238" s="73">
        <v>623181</v>
      </c>
      <c r="C238" s="73">
        <f>B238+(B238*B239)</f>
        <v>632777.98739999998</v>
      </c>
    </row>
    <row r="239" spans="1:9">
      <c r="A239" t="s">
        <v>287</v>
      </c>
      <c r="B239" s="74">
        <v>1.54E-2</v>
      </c>
    </row>
    <row r="241" spans="1:6">
      <c r="A241" t="s">
        <v>1124</v>
      </c>
    </row>
    <row r="242" spans="1:6">
      <c r="B242">
        <v>2012</v>
      </c>
      <c r="C242">
        <v>2013</v>
      </c>
      <c r="D242">
        <v>2014</v>
      </c>
      <c r="E242">
        <v>2015</v>
      </c>
    </row>
    <row r="243" spans="1:6">
      <c r="A243" t="s">
        <v>286</v>
      </c>
      <c r="B243" s="73">
        <f>47917*12</f>
        <v>575004</v>
      </c>
      <c r="C243" s="73">
        <f>(47917*4)+(50000*8)</f>
        <v>591668</v>
      </c>
      <c r="D243" s="73">
        <f>(50000*4)+(E247*8)</f>
        <v>697726.46369155799</v>
      </c>
      <c r="E243" s="73">
        <f>(E247*4)+(F247*8)</f>
        <v>750422.18930776184</v>
      </c>
    </row>
    <row r="244" spans="1:6">
      <c r="A244" t="s">
        <v>287</v>
      </c>
      <c r="B244" s="74"/>
      <c r="C244" s="74"/>
      <c r="D244" s="74"/>
      <c r="E244" s="74"/>
    </row>
    <row r="246" spans="1:6">
      <c r="B246">
        <v>2011</v>
      </c>
      <c r="C246">
        <v>2012</v>
      </c>
      <c r="D246">
        <v>2013</v>
      </c>
      <c r="E246">
        <v>2014</v>
      </c>
      <c r="F246">
        <v>2015</v>
      </c>
    </row>
    <row r="247" spans="1:6">
      <c r="A247" t="s">
        <v>286</v>
      </c>
      <c r="B247" s="73">
        <v>60083</v>
      </c>
      <c r="C247" s="73">
        <f>B247+(B247*(B248/2))</f>
        <v>60999.265749999999</v>
      </c>
      <c r="D247" s="73">
        <f>C247+(C247*(C248/2))</f>
        <v>61740.406828862499</v>
      </c>
      <c r="E247" s="73">
        <f>D247+(D247*(D248/2))</f>
        <v>62215.807961444742</v>
      </c>
      <c r="F247" s="73">
        <f>E247+(E247*(E248/2))</f>
        <v>62694.869682747863</v>
      </c>
    </row>
    <row r="248" spans="1:6">
      <c r="A248" t="s">
        <v>287</v>
      </c>
      <c r="B248" s="74">
        <v>3.0499999999999999E-2</v>
      </c>
      <c r="C248" s="74">
        <v>2.4299999999999999E-2</v>
      </c>
      <c r="D248" s="74">
        <v>1.54E-2</v>
      </c>
      <c r="E248" s="74">
        <v>1.54E-2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8"/>
  <sheetViews>
    <sheetView showGridLines="0" workbookViewId="0">
      <selection activeCell="A249" sqref="A249"/>
    </sheetView>
  </sheetViews>
  <sheetFormatPr defaultColWidth="11.42578125" defaultRowHeight="12"/>
  <cols>
    <col min="1" max="1" width="43.140625" style="108" customWidth="1"/>
    <col min="2" max="2" width="24.42578125" style="108" customWidth="1"/>
    <col min="3" max="3" width="23.85546875" style="108" bestFit="1" customWidth="1"/>
    <col min="4" max="4" width="16.5703125" style="108" bestFit="1" customWidth="1"/>
    <col min="5" max="5" width="33.28515625" style="108" bestFit="1" customWidth="1"/>
    <col min="6" max="6" width="15.140625" style="108" bestFit="1" customWidth="1"/>
    <col min="7" max="7" width="25.5703125" style="108" bestFit="1" customWidth="1"/>
    <col min="8" max="8" width="30" style="108" bestFit="1" customWidth="1"/>
    <col min="9" max="9" width="18" style="108" bestFit="1" customWidth="1"/>
    <col min="10" max="10" width="24.42578125" style="108" bestFit="1" customWidth="1"/>
    <col min="11" max="11" width="15.140625" style="108" bestFit="1" customWidth="1"/>
    <col min="12" max="12" width="32.42578125" style="108" bestFit="1" customWidth="1"/>
    <col min="13" max="13" width="16.7109375" style="108" bestFit="1" customWidth="1"/>
    <col min="14" max="14" width="52.42578125" style="108" bestFit="1" customWidth="1"/>
    <col min="15" max="15" width="22.85546875" style="108" bestFit="1" customWidth="1"/>
    <col min="16" max="16" width="12.85546875" style="108" bestFit="1" customWidth="1"/>
    <col min="17" max="17" width="31.140625" style="108" bestFit="1" customWidth="1"/>
    <col min="18" max="18" width="23.85546875" style="108" bestFit="1" customWidth="1"/>
    <col min="19" max="19" width="16.5703125" style="108" bestFit="1" customWidth="1"/>
    <col min="20" max="20" width="16.140625" style="108" bestFit="1" customWidth="1"/>
    <col min="21" max="21" width="15.140625" style="108" bestFit="1" customWidth="1"/>
    <col min="22" max="22" width="21.5703125" style="108" bestFit="1" customWidth="1"/>
    <col min="23" max="23" width="30" style="108" bestFit="1" customWidth="1"/>
    <col min="24" max="24" width="18" style="108" bestFit="1" customWidth="1"/>
    <col min="25" max="25" width="24.42578125" style="108" bestFit="1" customWidth="1"/>
    <col min="26" max="26" width="15.140625" style="108" bestFit="1" customWidth="1"/>
    <col min="27" max="27" width="32.42578125" style="108" bestFit="1" customWidth="1"/>
    <col min="28" max="28" width="16.7109375" style="108" bestFit="1" customWidth="1"/>
    <col min="29" max="29" width="52.42578125" style="108" bestFit="1" customWidth="1"/>
    <col min="30" max="30" width="22.85546875" style="108" bestFit="1" customWidth="1"/>
    <col min="31" max="31" width="13.42578125" style="108" bestFit="1" customWidth="1"/>
    <col min="32" max="32" width="31.140625" style="108" bestFit="1" customWidth="1"/>
    <col min="33" max="33" width="23.85546875" style="108" bestFit="1" customWidth="1"/>
    <col min="34" max="34" width="16.5703125" style="108" bestFit="1" customWidth="1"/>
    <col min="35" max="35" width="16.140625" style="108" bestFit="1" customWidth="1"/>
    <col min="36" max="36" width="15.140625" style="108" bestFit="1" customWidth="1"/>
    <col min="37" max="37" width="21.5703125" style="108" bestFit="1" customWidth="1"/>
    <col min="38" max="38" width="30" style="108" bestFit="1" customWidth="1"/>
    <col min="39" max="39" width="18" style="108" bestFit="1" customWidth="1"/>
    <col min="40" max="40" width="24.42578125" style="108" bestFit="1" customWidth="1"/>
    <col min="41" max="41" width="15.140625" style="108" bestFit="1" customWidth="1"/>
    <col min="42" max="42" width="32.42578125" style="108" bestFit="1" customWidth="1"/>
    <col min="43" max="43" width="16.7109375" style="108" bestFit="1" customWidth="1"/>
    <col min="44" max="44" width="52.42578125" style="108" bestFit="1" customWidth="1"/>
    <col min="45" max="45" width="22.85546875" style="108" bestFit="1" customWidth="1"/>
    <col min="46" max="46" width="12.85546875" style="108" bestFit="1" customWidth="1"/>
    <col min="47" max="47" width="31.140625" style="108" bestFit="1" customWidth="1"/>
    <col min="48" max="16384" width="11.42578125" style="108"/>
  </cols>
  <sheetData>
    <row r="1" spans="1:47">
      <c r="A1" s="103"/>
      <c r="B1" s="103"/>
      <c r="C1" s="103" t="s">
        <v>955</v>
      </c>
      <c r="D1" s="103" t="s">
        <v>956</v>
      </c>
      <c r="E1" s="103" t="s">
        <v>957</v>
      </c>
      <c r="F1" s="103" t="s">
        <v>958</v>
      </c>
      <c r="G1" s="103" t="s">
        <v>959</v>
      </c>
    </row>
    <row r="2" spans="1:47" s="95" customFormat="1">
      <c r="A2" s="97"/>
      <c r="B2" s="97">
        <v>1</v>
      </c>
      <c r="C2" s="96">
        <f t="shared" ref="C2:AU2" si="0">+B2+1</f>
        <v>2</v>
      </c>
      <c r="D2" s="96">
        <f t="shared" si="0"/>
        <v>3</v>
      </c>
      <c r="E2" s="96">
        <f t="shared" si="0"/>
        <v>4</v>
      </c>
      <c r="F2" s="96">
        <f t="shared" si="0"/>
        <v>5</v>
      </c>
      <c r="G2" s="96">
        <f t="shared" si="0"/>
        <v>6</v>
      </c>
      <c r="H2" s="96">
        <f t="shared" si="0"/>
        <v>7</v>
      </c>
      <c r="I2" s="96">
        <f t="shared" si="0"/>
        <v>8</v>
      </c>
      <c r="J2" s="96">
        <f t="shared" si="0"/>
        <v>9</v>
      </c>
      <c r="K2" s="96">
        <f t="shared" si="0"/>
        <v>10</v>
      </c>
      <c r="L2" s="96">
        <f t="shared" si="0"/>
        <v>11</v>
      </c>
      <c r="M2" s="96">
        <f t="shared" si="0"/>
        <v>12</v>
      </c>
      <c r="N2" s="96">
        <f t="shared" si="0"/>
        <v>13</v>
      </c>
      <c r="O2" s="96">
        <f t="shared" si="0"/>
        <v>14</v>
      </c>
      <c r="P2" s="96">
        <f t="shared" si="0"/>
        <v>15</v>
      </c>
      <c r="Q2" s="96">
        <f t="shared" si="0"/>
        <v>16</v>
      </c>
      <c r="R2" s="96">
        <f t="shared" si="0"/>
        <v>17</v>
      </c>
      <c r="S2" s="96">
        <f t="shared" si="0"/>
        <v>18</v>
      </c>
      <c r="T2" s="96">
        <f t="shared" si="0"/>
        <v>19</v>
      </c>
      <c r="U2" s="96">
        <f t="shared" si="0"/>
        <v>20</v>
      </c>
      <c r="V2" s="96">
        <f t="shared" si="0"/>
        <v>21</v>
      </c>
      <c r="W2" s="96">
        <f t="shared" si="0"/>
        <v>22</v>
      </c>
      <c r="X2" s="96">
        <f t="shared" si="0"/>
        <v>23</v>
      </c>
      <c r="Y2" s="96">
        <f t="shared" si="0"/>
        <v>24</v>
      </c>
      <c r="Z2" s="96">
        <f t="shared" si="0"/>
        <v>25</v>
      </c>
      <c r="AA2" s="96">
        <f t="shared" si="0"/>
        <v>26</v>
      </c>
      <c r="AB2" s="96">
        <f t="shared" si="0"/>
        <v>27</v>
      </c>
      <c r="AC2" s="96">
        <f t="shared" si="0"/>
        <v>28</v>
      </c>
      <c r="AD2" s="96">
        <f t="shared" si="0"/>
        <v>29</v>
      </c>
      <c r="AE2" s="96">
        <f t="shared" si="0"/>
        <v>30</v>
      </c>
      <c r="AF2" s="96">
        <f t="shared" si="0"/>
        <v>31</v>
      </c>
      <c r="AG2" s="96">
        <f t="shared" si="0"/>
        <v>32</v>
      </c>
      <c r="AH2" s="96">
        <f t="shared" si="0"/>
        <v>33</v>
      </c>
      <c r="AI2" s="96">
        <f t="shared" si="0"/>
        <v>34</v>
      </c>
      <c r="AJ2" s="96">
        <f t="shared" si="0"/>
        <v>35</v>
      </c>
      <c r="AK2" s="96">
        <f t="shared" si="0"/>
        <v>36</v>
      </c>
      <c r="AL2" s="96">
        <f t="shared" si="0"/>
        <v>37</v>
      </c>
      <c r="AM2" s="96">
        <f t="shared" si="0"/>
        <v>38</v>
      </c>
      <c r="AN2" s="96">
        <f t="shared" si="0"/>
        <v>39</v>
      </c>
      <c r="AO2" s="96">
        <f t="shared" si="0"/>
        <v>40</v>
      </c>
      <c r="AP2" s="96">
        <f t="shared" si="0"/>
        <v>41</v>
      </c>
      <c r="AQ2" s="96">
        <f t="shared" si="0"/>
        <v>42</v>
      </c>
      <c r="AR2" s="96">
        <f t="shared" si="0"/>
        <v>43</v>
      </c>
      <c r="AS2" s="96">
        <f t="shared" si="0"/>
        <v>44</v>
      </c>
      <c r="AT2" s="96">
        <f t="shared" si="0"/>
        <v>45</v>
      </c>
      <c r="AU2" s="96">
        <f t="shared" si="0"/>
        <v>46</v>
      </c>
    </row>
    <row r="3" spans="1:47" s="98" customFormat="1">
      <c r="A3" s="100"/>
      <c r="B3" s="100"/>
      <c r="C3" s="99"/>
      <c r="D3" s="99"/>
      <c r="E3" s="100"/>
      <c r="F3" s="100"/>
      <c r="G3" s="100"/>
    </row>
    <row r="4" spans="1:47">
      <c r="C4" s="103" t="s">
        <v>960</v>
      </c>
      <c r="D4" s="103" t="s">
        <v>961</v>
      </c>
    </row>
    <row r="5" spans="1:47">
      <c r="C5" s="317" t="s">
        <v>962</v>
      </c>
      <c r="D5" s="318"/>
      <c r="E5" s="318"/>
      <c r="F5" s="318"/>
      <c r="G5" s="318"/>
      <c r="H5" s="318"/>
      <c r="I5" s="318"/>
      <c r="J5" s="318"/>
      <c r="K5" s="318"/>
      <c r="L5" s="318"/>
      <c r="M5" s="318"/>
      <c r="N5" s="318"/>
      <c r="O5" s="318"/>
      <c r="P5" s="318"/>
      <c r="Q5" s="318"/>
      <c r="R5" s="319" t="s">
        <v>963</v>
      </c>
      <c r="S5" s="320"/>
      <c r="T5" s="320"/>
      <c r="U5" s="320"/>
      <c r="V5" s="320"/>
      <c r="W5" s="320"/>
      <c r="X5" s="320"/>
      <c r="Y5" s="320"/>
      <c r="Z5" s="320"/>
      <c r="AA5" s="320"/>
      <c r="AB5" s="320"/>
      <c r="AC5" s="320"/>
      <c r="AD5" s="320"/>
      <c r="AE5" s="320"/>
      <c r="AF5" s="320"/>
      <c r="AG5" s="321" t="s">
        <v>964</v>
      </c>
      <c r="AH5" s="322"/>
      <c r="AI5" s="322"/>
      <c r="AJ5" s="322"/>
      <c r="AK5" s="322"/>
      <c r="AL5" s="322"/>
      <c r="AM5" s="322"/>
      <c r="AN5" s="322"/>
      <c r="AO5" s="322"/>
      <c r="AP5" s="322"/>
      <c r="AQ5" s="322"/>
      <c r="AR5" s="322"/>
      <c r="AS5" s="322"/>
      <c r="AT5" s="322"/>
      <c r="AU5" s="322"/>
    </row>
    <row r="6" spans="1:47">
      <c r="A6" s="103"/>
      <c r="B6" s="103"/>
      <c r="C6" s="102" t="s">
        <v>381</v>
      </c>
      <c r="D6" s="102" t="s">
        <v>382</v>
      </c>
      <c r="E6" s="102" t="s">
        <v>379</v>
      </c>
      <c r="F6" s="102" t="s">
        <v>378</v>
      </c>
      <c r="G6" s="102" t="s">
        <v>965</v>
      </c>
      <c r="H6" s="102" t="s">
        <v>383</v>
      </c>
      <c r="I6" s="102" t="s">
        <v>966</v>
      </c>
      <c r="J6" s="102" t="s">
        <v>380</v>
      </c>
      <c r="K6" s="102" t="s">
        <v>967</v>
      </c>
      <c r="L6" s="102" t="s">
        <v>968</v>
      </c>
      <c r="M6" s="102" t="s">
        <v>969</v>
      </c>
      <c r="N6" s="102" t="s">
        <v>970</v>
      </c>
      <c r="O6" s="102" t="s">
        <v>971</v>
      </c>
      <c r="P6" s="102" t="s">
        <v>275</v>
      </c>
      <c r="Q6" s="102" t="s">
        <v>972</v>
      </c>
      <c r="R6" s="102" t="s">
        <v>381</v>
      </c>
      <c r="S6" s="102" t="s">
        <v>382</v>
      </c>
      <c r="T6" s="102" t="s">
        <v>379</v>
      </c>
      <c r="U6" s="102" t="s">
        <v>378</v>
      </c>
      <c r="V6" s="102" t="s">
        <v>965</v>
      </c>
      <c r="W6" s="102" t="s">
        <v>383</v>
      </c>
      <c r="X6" s="102" t="s">
        <v>966</v>
      </c>
      <c r="Y6" s="102" t="s">
        <v>380</v>
      </c>
      <c r="Z6" s="102" t="s">
        <v>967</v>
      </c>
      <c r="AA6" s="102" t="s">
        <v>968</v>
      </c>
      <c r="AB6" s="102" t="s">
        <v>969</v>
      </c>
      <c r="AC6" s="102" t="s">
        <v>970</v>
      </c>
      <c r="AD6" s="102" t="s">
        <v>971</v>
      </c>
      <c r="AE6" s="102" t="s">
        <v>275</v>
      </c>
      <c r="AF6" s="102" t="s">
        <v>972</v>
      </c>
      <c r="AG6" s="102" t="s">
        <v>381</v>
      </c>
      <c r="AH6" s="102" t="s">
        <v>382</v>
      </c>
      <c r="AI6" s="102" t="s">
        <v>379</v>
      </c>
      <c r="AJ6" s="102" t="s">
        <v>378</v>
      </c>
      <c r="AK6" s="102" t="s">
        <v>965</v>
      </c>
      <c r="AL6" s="102" t="s">
        <v>383</v>
      </c>
      <c r="AM6" s="102" t="s">
        <v>966</v>
      </c>
      <c r="AN6" s="102" t="s">
        <v>380</v>
      </c>
      <c r="AO6" s="102" t="s">
        <v>967</v>
      </c>
      <c r="AP6" s="102" t="s">
        <v>968</v>
      </c>
      <c r="AQ6" s="102" t="s">
        <v>969</v>
      </c>
      <c r="AR6" s="102" t="s">
        <v>970</v>
      </c>
      <c r="AS6" s="102" t="s">
        <v>971</v>
      </c>
      <c r="AT6" s="102" t="s">
        <v>275</v>
      </c>
      <c r="AU6" s="102" t="s">
        <v>972</v>
      </c>
    </row>
    <row r="7" spans="1:47">
      <c r="A7" s="102" t="s">
        <v>973</v>
      </c>
      <c r="B7" s="102" t="e">
        <v>#N/A</v>
      </c>
      <c r="C7" s="101">
        <v>0</v>
      </c>
      <c r="D7" s="101">
        <v>0</v>
      </c>
      <c r="E7" s="101">
        <v>0</v>
      </c>
      <c r="F7" s="101">
        <v>4400220.7388000013</v>
      </c>
      <c r="G7" s="101">
        <v>0</v>
      </c>
      <c r="H7" s="101">
        <v>1794980.5778880001</v>
      </c>
      <c r="I7" s="101">
        <v>481778.08</v>
      </c>
      <c r="J7" s="101">
        <v>2605240.1609120001</v>
      </c>
      <c r="K7" s="101">
        <v>37590.35</v>
      </c>
      <c r="L7" s="101">
        <v>0</v>
      </c>
      <c r="M7" s="101">
        <v>0</v>
      </c>
      <c r="N7" s="101">
        <v>0</v>
      </c>
      <c r="O7" s="101">
        <v>0</v>
      </c>
      <c r="P7" s="101">
        <v>2567649.810912</v>
      </c>
      <c r="Q7" s="101">
        <v>0</v>
      </c>
      <c r="R7" s="101">
        <v>0</v>
      </c>
      <c r="S7" s="101">
        <v>0</v>
      </c>
      <c r="T7" s="101">
        <v>0</v>
      </c>
      <c r="U7" s="101">
        <v>8456029.9999000002</v>
      </c>
      <c r="V7" s="101">
        <v>0</v>
      </c>
      <c r="W7" s="101">
        <v>3650931.0000999998</v>
      </c>
      <c r="X7" s="101">
        <v>825905.28</v>
      </c>
      <c r="Y7" s="101">
        <v>4805098.9998000013</v>
      </c>
      <c r="Z7" s="101">
        <v>64440.55</v>
      </c>
      <c r="AA7" s="101">
        <v>0</v>
      </c>
      <c r="AB7" s="101">
        <v>0</v>
      </c>
      <c r="AC7" s="101">
        <v>0</v>
      </c>
      <c r="AD7" s="101">
        <v>0</v>
      </c>
      <c r="AE7" s="101">
        <v>4740658.4497999996</v>
      </c>
      <c r="AF7" s="101">
        <v>0</v>
      </c>
      <c r="AG7" s="101">
        <v>0</v>
      </c>
      <c r="AH7" s="101">
        <v>0</v>
      </c>
      <c r="AI7" s="101">
        <v>0</v>
      </c>
      <c r="AJ7" s="101">
        <v>23659.7</v>
      </c>
      <c r="AK7" s="101">
        <v>0</v>
      </c>
      <c r="AL7" s="101">
        <v>744571.15</v>
      </c>
      <c r="AM7" s="101">
        <v>466968.67</v>
      </c>
      <c r="AN7" s="101">
        <v>-720911.45</v>
      </c>
      <c r="AO7" s="101">
        <v>0</v>
      </c>
      <c r="AP7" s="101">
        <v>0</v>
      </c>
      <c r="AQ7" s="101">
        <v>0</v>
      </c>
      <c r="AR7" s="101">
        <v>0</v>
      </c>
      <c r="AS7" s="101">
        <v>0</v>
      </c>
      <c r="AT7" s="101">
        <v>-720911.45</v>
      </c>
      <c r="AU7" s="101">
        <v>0</v>
      </c>
    </row>
    <row r="8" spans="1:47">
      <c r="A8" s="102" t="s">
        <v>974</v>
      </c>
      <c r="B8" s="102" t="e">
        <v>#N/A</v>
      </c>
      <c r="C8" s="101">
        <v>0</v>
      </c>
      <c r="D8" s="101">
        <v>0</v>
      </c>
      <c r="E8" s="101">
        <v>0</v>
      </c>
      <c r="F8" s="101">
        <v>0</v>
      </c>
      <c r="G8" s="101">
        <v>0</v>
      </c>
      <c r="H8" s="101">
        <v>0</v>
      </c>
      <c r="I8" s="101">
        <v>0</v>
      </c>
      <c r="J8" s="101">
        <v>0</v>
      </c>
      <c r="K8" s="101">
        <v>0</v>
      </c>
      <c r="L8" s="101">
        <v>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G8" s="101">
        <v>0</v>
      </c>
      <c r="AH8" s="101">
        <v>0</v>
      </c>
      <c r="AI8" s="101">
        <v>0</v>
      </c>
      <c r="AJ8" s="101">
        <v>3260439.96</v>
      </c>
      <c r="AK8" s="101">
        <v>0</v>
      </c>
      <c r="AL8" s="101">
        <v>2904323.52</v>
      </c>
      <c r="AM8" s="101">
        <v>0</v>
      </c>
      <c r="AN8" s="101">
        <v>356116.44</v>
      </c>
      <c r="AO8" s="101">
        <v>0</v>
      </c>
      <c r="AP8" s="101">
        <v>0</v>
      </c>
      <c r="AQ8" s="101">
        <v>0</v>
      </c>
      <c r="AR8" s="101">
        <v>0</v>
      </c>
      <c r="AS8" s="101">
        <v>0</v>
      </c>
      <c r="AT8" s="101">
        <v>356116.44</v>
      </c>
      <c r="AU8" s="101">
        <v>0</v>
      </c>
    </row>
    <row r="9" spans="1:47">
      <c r="A9" s="102" t="s">
        <v>975</v>
      </c>
      <c r="B9" s="102" t="e">
        <v>#N/A</v>
      </c>
      <c r="C9" s="101">
        <v>0</v>
      </c>
      <c r="D9" s="101">
        <v>0</v>
      </c>
      <c r="E9" s="101">
        <v>0</v>
      </c>
      <c r="F9" s="101">
        <v>0</v>
      </c>
      <c r="G9" s="101">
        <v>0</v>
      </c>
      <c r="H9" s="101">
        <v>0</v>
      </c>
      <c r="I9" s="101">
        <v>0</v>
      </c>
      <c r="J9" s="101">
        <v>0</v>
      </c>
      <c r="K9" s="101">
        <v>0</v>
      </c>
      <c r="L9" s="101">
        <v>0</v>
      </c>
      <c r="M9" s="101">
        <v>0</v>
      </c>
      <c r="N9" s="101">
        <v>0</v>
      </c>
      <c r="O9" s="101">
        <v>0</v>
      </c>
      <c r="P9" s="101">
        <v>0</v>
      </c>
      <c r="Q9" s="101">
        <v>0</v>
      </c>
      <c r="R9" s="101">
        <v>0</v>
      </c>
      <c r="S9" s="101">
        <v>0</v>
      </c>
      <c r="T9" s="101">
        <v>0</v>
      </c>
      <c r="U9" s="101">
        <v>0</v>
      </c>
      <c r="V9" s="101">
        <v>0</v>
      </c>
      <c r="W9" s="101">
        <v>0</v>
      </c>
      <c r="X9" s="101">
        <v>0</v>
      </c>
      <c r="Y9" s="101">
        <v>0</v>
      </c>
      <c r="Z9" s="101">
        <v>0</v>
      </c>
      <c r="AA9" s="101">
        <v>0</v>
      </c>
      <c r="AB9" s="101">
        <v>0</v>
      </c>
      <c r="AC9" s="101">
        <v>0</v>
      </c>
      <c r="AD9" s="101">
        <v>0</v>
      </c>
      <c r="AE9" s="101">
        <v>0</v>
      </c>
      <c r="AF9" s="101">
        <v>0</v>
      </c>
      <c r="AG9" s="101">
        <v>0</v>
      </c>
      <c r="AH9" s="101">
        <v>0</v>
      </c>
      <c r="AI9" s="101">
        <v>0</v>
      </c>
      <c r="AJ9" s="101">
        <v>908920.23</v>
      </c>
      <c r="AK9" s="101">
        <v>0</v>
      </c>
      <c r="AL9" s="101">
        <v>72551.039999999994</v>
      </c>
      <c r="AM9" s="101">
        <v>0</v>
      </c>
      <c r="AN9" s="101">
        <v>836369.19</v>
      </c>
      <c r="AO9" s="101">
        <v>0</v>
      </c>
      <c r="AP9" s="101">
        <v>0</v>
      </c>
      <c r="AQ9" s="101">
        <v>0</v>
      </c>
      <c r="AR9" s="101">
        <v>0</v>
      </c>
      <c r="AS9" s="101">
        <v>0</v>
      </c>
      <c r="AT9" s="101">
        <v>836369.19</v>
      </c>
      <c r="AU9" s="101">
        <v>0</v>
      </c>
    </row>
    <row r="10" spans="1:47">
      <c r="A10" s="102" t="s">
        <v>976</v>
      </c>
      <c r="B10" s="102" t="e">
        <v>#N/A</v>
      </c>
      <c r="C10" s="101">
        <v>0</v>
      </c>
      <c r="D10" s="101">
        <v>0</v>
      </c>
      <c r="E10" s="101">
        <v>0</v>
      </c>
      <c r="F10" s="101">
        <v>4400220.7388000013</v>
      </c>
      <c r="G10" s="101">
        <v>0</v>
      </c>
      <c r="H10" s="101">
        <v>1794980.5778880001</v>
      </c>
      <c r="I10" s="101">
        <v>481778.08</v>
      </c>
      <c r="J10" s="101">
        <v>2605240.1609120001</v>
      </c>
      <c r="K10" s="101">
        <v>37590.35</v>
      </c>
      <c r="L10" s="101">
        <v>0</v>
      </c>
      <c r="M10" s="101">
        <v>0</v>
      </c>
      <c r="N10" s="101">
        <v>0</v>
      </c>
      <c r="O10" s="101">
        <v>0</v>
      </c>
      <c r="P10" s="101">
        <v>2567649.810912</v>
      </c>
      <c r="Q10" s="101">
        <v>0</v>
      </c>
      <c r="R10" s="101">
        <v>0</v>
      </c>
      <c r="S10" s="101">
        <v>0</v>
      </c>
      <c r="T10" s="101">
        <v>0</v>
      </c>
      <c r="U10" s="101">
        <v>8456029.9999000002</v>
      </c>
      <c r="V10" s="101">
        <v>0</v>
      </c>
      <c r="W10" s="101">
        <v>3650931.0000999998</v>
      </c>
      <c r="X10" s="101">
        <v>825905.28</v>
      </c>
      <c r="Y10" s="101">
        <v>4805098.9998000013</v>
      </c>
      <c r="Z10" s="101">
        <v>64440.55</v>
      </c>
      <c r="AA10" s="101">
        <v>0</v>
      </c>
      <c r="AB10" s="101">
        <v>0</v>
      </c>
      <c r="AC10" s="101">
        <v>0</v>
      </c>
      <c r="AD10" s="101">
        <v>0</v>
      </c>
      <c r="AE10" s="101">
        <v>4740658.4497999996</v>
      </c>
      <c r="AF10" s="101">
        <v>0</v>
      </c>
      <c r="AG10" s="101">
        <v>0</v>
      </c>
      <c r="AH10" s="101">
        <v>0</v>
      </c>
      <c r="AI10" s="101">
        <v>0</v>
      </c>
      <c r="AJ10" s="101">
        <v>4193019.89</v>
      </c>
      <c r="AK10" s="101">
        <v>0</v>
      </c>
      <c r="AL10" s="101">
        <v>3721445.71</v>
      </c>
      <c r="AM10" s="101">
        <v>466968.67</v>
      </c>
      <c r="AN10" s="101">
        <v>471574.18</v>
      </c>
      <c r="AO10" s="101">
        <v>0</v>
      </c>
      <c r="AP10" s="101">
        <v>0</v>
      </c>
      <c r="AQ10" s="101">
        <v>0</v>
      </c>
      <c r="AR10" s="101">
        <v>0</v>
      </c>
      <c r="AS10" s="101">
        <v>0</v>
      </c>
      <c r="AT10" s="101">
        <v>471574.18</v>
      </c>
      <c r="AU10" s="101">
        <v>0</v>
      </c>
    </row>
    <row r="11" spans="1:47">
      <c r="A11" s="102" t="s">
        <v>300</v>
      </c>
      <c r="B11" s="102" t="s">
        <v>8</v>
      </c>
      <c r="C11" s="101">
        <v>15660</v>
      </c>
      <c r="D11" s="101">
        <v>23320</v>
      </c>
      <c r="E11" s="101">
        <v>1039831.29</v>
      </c>
      <c r="F11" s="101">
        <v>1310037.29</v>
      </c>
      <c r="G11" s="101">
        <v>216293</v>
      </c>
      <c r="H11" s="101">
        <v>901704.73</v>
      </c>
      <c r="I11" s="101">
        <v>393330.83</v>
      </c>
      <c r="J11" s="101">
        <v>408332.56</v>
      </c>
      <c r="K11" s="101">
        <v>296180.39</v>
      </c>
      <c r="L11" s="101">
        <v>0</v>
      </c>
      <c r="M11" s="101">
        <v>0</v>
      </c>
      <c r="N11" s="101">
        <v>0</v>
      </c>
      <c r="O11" s="101">
        <v>0</v>
      </c>
      <c r="P11" s="101">
        <v>112152.17</v>
      </c>
      <c r="Q11" s="101">
        <v>64994</v>
      </c>
      <c r="R11" s="101">
        <v>27431</v>
      </c>
      <c r="S11" s="101">
        <v>40150</v>
      </c>
      <c r="T11" s="101">
        <v>1817448.73</v>
      </c>
      <c r="U11" s="101">
        <v>2263426.73</v>
      </c>
      <c r="V11" s="101">
        <v>362392</v>
      </c>
      <c r="W11" s="101">
        <v>1539303.92</v>
      </c>
      <c r="X11" s="101">
        <v>674036.73</v>
      </c>
      <c r="Y11" s="101">
        <v>724122.81</v>
      </c>
      <c r="Z11" s="101">
        <v>506018.28</v>
      </c>
      <c r="AA11" s="101">
        <v>0</v>
      </c>
      <c r="AB11" s="101">
        <v>0</v>
      </c>
      <c r="AC11" s="101">
        <v>0</v>
      </c>
      <c r="AD11" s="101">
        <v>0</v>
      </c>
      <c r="AE11" s="101">
        <v>218104.53</v>
      </c>
      <c r="AF11" s="101">
        <v>112289</v>
      </c>
      <c r="AG11" s="101">
        <v>17230</v>
      </c>
      <c r="AH11" s="101">
        <v>23320</v>
      </c>
      <c r="AI11" s="101">
        <v>1106045.1299999999</v>
      </c>
      <c r="AJ11" s="101">
        <v>1393836.42</v>
      </c>
      <c r="AK11" s="101">
        <v>234884.21</v>
      </c>
      <c r="AL11" s="101">
        <v>971936.58</v>
      </c>
      <c r="AM11" s="101">
        <v>374303.01</v>
      </c>
      <c r="AN11" s="101">
        <v>421899.84</v>
      </c>
      <c r="AO11" s="101">
        <v>611669.94999999995</v>
      </c>
      <c r="AP11" s="101">
        <v>0</v>
      </c>
      <c r="AQ11" s="101">
        <v>0</v>
      </c>
      <c r="AR11" s="101">
        <v>0</v>
      </c>
      <c r="AS11" s="101">
        <v>0</v>
      </c>
      <c r="AT11" s="101">
        <v>-189770.11</v>
      </c>
      <c r="AU11" s="101">
        <v>69584.5</v>
      </c>
    </row>
    <row r="12" spans="1:47">
      <c r="A12" s="102" t="s">
        <v>301</v>
      </c>
      <c r="B12" s="102" t="s">
        <v>28</v>
      </c>
      <c r="C12" s="101">
        <v>27747.93</v>
      </c>
      <c r="D12" s="101">
        <v>42188</v>
      </c>
      <c r="E12" s="101">
        <v>1450996.38</v>
      </c>
      <c r="F12" s="101">
        <v>2768548.45</v>
      </c>
      <c r="G12" s="101">
        <v>1010743.27</v>
      </c>
      <c r="H12" s="101">
        <v>1885654.02</v>
      </c>
      <c r="I12" s="101">
        <v>874990.42</v>
      </c>
      <c r="J12" s="101">
        <v>882894.43</v>
      </c>
      <c r="K12" s="101">
        <v>1083230.75</v>
      </c>
      <c r="L12" s="101">
        <v>0</v>
      </c>
      <c r="M12" s="101">
        <v>0</v>
      </c>
      <c r="N12" s="101">
        <v>0</v>
      </c>
      <c r="O12" s="101">
        <v>0</v>
      </c>
      <c r="P12" s="101">
        <v>-200336.32</v>
      </c>
      <c r="Q12" s="101">
        <v>142155.07999999999</v>
      </c>
      <c r="R12" s="101">
        <v>49217.94</v>
      </c>
      <c r="S12" s="101">
        <v>72635</v>
      </c>
      <c r="T12" s="101">
        <v>2578592.38</v>
      </c>
      <c r="U12" s="101">
        <v>4834912.0599999996</v>
      </c>
      <c r="V12" s="101">
        <v>1749246.24</v>
      </c>
      <c r="W12" s="101">
        <v>3251738.06</v>
      </c>
      <c r="X12" s="101">
        <v>1502080.82</v>
      </c>
      <c r="Y12" s="101">
        <v>1583174.0000000009</v>
      </c>
      <c r="Z12" s="101">
        <v>1856967</v>
      </c>
      <c r="AA12" s="101">
        <v>0</v>
      </c>
      <c r="AB12" s="101">
        <v>0</v>
      </c>
      <c r="AC12" s="101">
        <v>0</v>
      </c>
      <c r="AD12" s="101">
        <v>0</v>
      </c>
      <c r="AE12" s="101">
        <v>-273792.99999999901</v>
      </c>
      <c r="AF12" s="101">
        <v>245070.88</v>
      </c>
      <c r="AG12" s="101">
        <v>31040</v>
      </c>
      <c r="AH12" s="101">
        <v>42188</v>
      </c>
      <c r="AI12" s="101">
        <v>1559124.05</v>
      </c>
      <c r="AJ12" s="101">
        <v>2996739.4000000008</v>
      </c>
      <c r="AK12" s="101">
        <v>1132754.55</v>
      </c>
      <c r="AL12" s="101">
        <v>2058159.13</v>
      </c>
      <c r="AM12" s="101">
        <v>852288.11</v>
      </c>
      <c r="AN12" s="101">
        <v>938580.27</v>
      </c>
      <c r="AO12" s="101">
        <v>257942.44</v>
      </c>
      <c r="AP12" s="101">
        <v>0</v>
      </c>
      <c r="AQ12" s="101">
        <v>0</v>
      </c>
      <c r="AR12" s="101">
        <v>-825288.31</v>
      </c>
      <c r="AS12" s="101">
        <v>0</v>
      </c>
      <c r="AT12" s="101">
        <v>680637.83</v>
      </c>
      <c r="AU12" s="101">
        <v>149803.56</v>
      </c>
    </row>
    <row r="13" spans="1:47">
      <c r="A13" s="102" t="s">
        <v>302</v>
      </c>
      <c r="B13" s="102" t="s">
        <v>9</v>
      </c>
      <c r="C13" s="101">
        <v>10452.030000000001</v>
      </c>
      <c r="D13" s="101">
        <v>15900</v>
      </c>
      <c r="E13" s="101">
        <v>660399.43000000005</v>
      </c>
      <c r="F13" s="101">
        <v>773903.66</v>
      </c>
      <c r="G13" s="101">
        <v>82709.289999999994</v>
      </c>
      <c r="H13" s="101">
        <v>418598.06</v>
      </c>
      <c r="I13" s="101">
        <v>150696</v>
      </c>
      <c r="J13" s="101">
        <v>355305.6</v>
      </c>
      <c r="K13" s="101">
        <v>469556.62</v>
      </c>
      <c r="L13" s="101">
        <v>0</v>
      </c>
      <c r="M13" s="101">
        <v>0</v>
      </c>
      <c r="N13" s="101">
        <v>0</v>
      </c>
      <c r="O13" s="101">
        <v>0</v>
      </c>
      <c r="P13" s="101">
        <v>-114251.02</v>
      </c>
      <c r="Q13" s="101">
        <v>38639.129999999997</v>
      </c>
      <c r="R13" s="101">
        <v>17973.23</v>
      </c>
      <c r="S13" s="101">
        <v>27375</v>
      </c>
      <c r="T13" s="101">
        <v>1142919.43</v>
      </c>
      <c r="U13" s="101">
        <v>1333504.47</v>
      </c>
      <c r="V13" s="101">
        <v>135730.53</v>
      </c>
      <c r="W13" s="101">
        <v>708358.43</v>
      </c>
      <c r="X13" s="101">
        <v>258336</v>
      </c>
      <c r="Y13" s="101">
        <v>625146.04</v>
      </c>
      <c r="Z13" s="101">
        <v>805779.92</v>
      </c>
      <c r="AA13" s="101">
        <v>0</v>
      </c>
      <c r="AB13" s="101">
        <v>0</v>
      </c>
      <c r="AC13" s="101">
        <v>0</v>
      </c>
      <c r="AD13" s="101">
        <v>0</v>
      </c>
      <c r="AE13" s="101">
        <v>-180633.88</v>
      </c>
      <c r="AF13" s="101">
        <v>66563.759999999995</v>
      </c>
      <c r="AG13" s="101">
        <v>10154</v>
      </c>
      <c r="AH13" s="101">
        <v>15900</v>
      </c>
      <c r="AI13" s="101">
        <v>604222.22</v>
      </c>
      <c r="AJ13" s="101">
        <v>706789.51</v>
      </c>
      <c r="AK13" s="101">
        <v>71958.61</v>
      </c>
      <c r="AL13" s="101">
        <v>413707.84</v>
      </c>
      <c r="AM13" s="101">
        <v>141312.35999999999</v>
      </c>
      <c r="AN13" s="101">
        <v>293081.67</v>
      </c>
      <c r="AO13" s="101">
        <v>398907.52</v>
      </c>
      <c r="AP13" s="101">
        <v>0</v>
      </c>
      <c r="AQ13" s="101">
        <v>0</v>
      </c>
      <c r="AR13" s="101">
        <v>-67761.48</v>
      </c>
      <c r="AS13" s="101">
        <v>0</v>
      </c>
      <c r="AT13" s="101">
        <v>-105825.85</v>
      </c>
      <c r="AU13" s="101">
        <v>35325</v>
      </c>
    </row>
    <row r="14" spans="1:47">
      <c r="A14" s="102" t="s">
        <v>303</v>
      </c>
      <c r="B14" s="102" t="s">
        <v>64</v>
      </c>
      <c r="C14" s="101">
        <v>5396</v>
      </c>
      <c r="D14" s="101">
        <v>8480</v>
      </c>
      <c r="E14" s="101">
        <v>266798.43</v>
      </c>
      <c r="F14" s="101">
        <v>305615.43</v>
      </c>
      <c r="G14" s="101">
        <v>20908</v>
      </c>
      <c r="H14" s="101">
        <v>259834.92</v>
      </c>
      <c r="I14" s="101">
        <v>125222.9</v>
      </c>
      <c r="J14" s="101">
        <v>45780.51</v>
      </c>
      <c r="K14" s="101">
        <v>159090.75</v>
      </c>
      <c r="L14" s="101">
        <v>0</v>
      </c>
      <c r="M14" s="101">
        <v>0</v>
      </c>
      <c r="N14" s="101">
        <v>-47988.5</v>
      </c>
      <c r="O14" s="101">
        <v>0</v>
      </c>
      <c r="P14" s="101">
        <v>-113310.24</v>
      </c>
      <c r="Q14" s="101">
        <v>15281</v>
      </c>
      <c r="R14" s="101">
        <v>9594</v>
      </c>
      <c r="S14" s="101">
        <v>14600</v>
      </c>
      <c r="T14" s="101">
        <v>484607.73</v>
      </c>
      <c r="U14" s="101">
        <v>554107.73</v>
      </c>
      <c r="V14" s="101">
        <v>37981</v>
      </c>
      <c r="W14" s="101">
        <v>449436.9</v>
      </c>
      <c r="X14" s="101">
        <v>214667.9</v>
      </c>
      <c r="Y14" s="101">
        <v>104670.83</v>
      </c>
      <c r="Z14" s="101">
        <v>272727</v>
      </c>
      <c r="AA14" s="101">
        <v>0</v>
      </c>
      <c r="AB14" s="101">
        <v>0</v>
      </c>
      <c r="AC14" s="101">
        <v>-82266</v>
      </c>
      <c r="AD14" s="101">
        <v>0</v>
      </c>
      <c r="AE14" s="101">
        <v>-168056.17</v>
      </c>
      <c r="AF14" s="101">
        <v>27705</v>
      </c>
      <c r="AG14" s="101">
        <v>4636</v>
      </c>
      <c r="AH14" s="101">
        <v>8480</v>
      </c>
      <c r="AI14" s="101">
        <v>246269.26</v>
      </c>
      <c r="AJ14" s="101">
        <v>281125.83</v>
      </c>
      <c r="AK14" s="101">
        <v>19898.060000000001</v>
      </c>
      <c r="AL14" s="101">
        <v>233615.8</v>
      </c>
      <c r="AM14" s="101">
        <v>89317.91</v>
      </c>
      <c r="AN14" s="101">
        <v>47510.03</v>
      </c>
      <c r="AO14" s="101">
        <v>50108.97</v>
      </c>
      <c r="AP14" s="101">
        <v>0</v>
      </c>
      <c r="AQ14" s="101">
        <v>0</v>
      </c>
      <c r="AR14" s="101">
        <v>-96992.28</v>
      </c>
      <c r="AS14" s="101">
        <v>0</v>
      </c>
      <c r="AT14" s="101">
        <v>-2598.94</v>
      </c>
      <c r="AU14" s="101">
        <v>14043.46</v>
      </c>
    </row>
    <row r="15" spans="1:47">
      <c r="A15" s="102" t="s">
        <v>304</v>
      </c>
      <c r="B15" s="102" t="s">
        <v>29</v>
      </c>
      <c r="C15" s="101">
        <v>36018</v>
      </c>
      <c r="D15" s="101">
        <v>45368</v>
      </c>
      <c r="E15" s="101">
        <v>2936668.77</v>
      </c>
      <c r="F15" s="101">
        <v>3863641.09</v>
      </c>
      <c r="G15" s="101">
        <v>673760</v>
      </c>
      <c r="H15" s="101">
        <v>1954086.46</v>
      </c>
      <c r="I15" s="101">
        <v>954071.79</v>
      </c>
      <c r="J15" s="101">
        <v>1909554.6300000011</v>
      </c>
      <c r="K15" s="101">
        <v>1472548.56</v>
      </c>
      <c r="L15" s="101">
        <v>0</v>
      </c>
      <c r="M15" s="101">
        <v>0</v>
      </c>
      <c r="N15" s="101">
        <v>0</v>
      </c>
      <c r="O15" s="101">
        <v>0</v>
      </c>
      <c r="P15" s="101">
        <v>437006.07</v>
      </c>
      <c r="Q15" s="101">
        <v>192139.9</v>
      </c>
      <c r="R15" s="101">
        <v>61036</v>
      </c>
      <c r="S15" s="101">
        <v>78110</v>
      </c>
      <c r="T15" s="101">
        <v>5018735.76</v>
      </c>
      <c r="U15" s="101">
        <v>6532733.9100000011</v>
      </c>
      <c r="V15" s="101">
        <v>1101770</v>
      </c>
      <c r="W15" s="101">
        <v>3317438.9600000009</v>
      </c>
      <c r="X15" s="101">
        <v>1637171.31</v>
      </c>
      <c r="Y15" s="101">
        <v>3215294.95</v>
      </c>
      <c r="Z15" s="101">
        <v>2524368.96</v>
      </c>
      <c r="AA15" s="101">
        <v>0</v>
      </c>
      <c r="AB15" s="101">
        <v>0</v>
      </c>
      <c r="AC15" s="101">
        <v>0</v>
      </c>
      <c r="AD15" s="101">
        <v>0</v>
      </c>
      <c r="AE15" s="101">
        <v>690925.99</v>
      </c>
      <c r="AF15" s="101">
        <v>325802</v>
      </c>
      <c r="AG15" s="101">
        <v>34789</v>
      </c>
      <c r="AH15" s="101">
        <v>45368</v>
      </c>
      <c r="AI15" s="101">
        <v>2931717.48</v>
      </c>
      <c r="AJ15" s="101">
        <v>3899527.57</v>
      </c>
      <c r="AK15" s="101">
        <v>711056.78</v>
      </c>
      <c r="AL15" s="101">
        <v>2031340.79</v>
      </c>
      <c r="AM15" s="101">
        <v>887808.36</v>
      </c>
      <c r="AN15" s="101">
        <v>1868186.78</v>
      </c>
      <c r="AO15" s="101">
        <v>1443343.22</v>
      </c>
      <c r="AP15" s="101">
        <v>0</v>
      </c>
      <c r="AQ15" s="101">
        <v>0</v>
      </c>
      <c r="AR15" s="101">
        <v>0</v>
      </c>
      <c r="AS15" s="101">
        <v>0</v>
      </c>
      <c r="AT15" s="101">
        <v>424843.56</v>
      </c>
      <c r="AU15" s="101">
        <v>194846.21</v>
      </c>
    </row>
    <row r="16" spans="1:47">
      <c r="A16" s="102" t="s">
        <v>305</v>
      </c>
      <c r="B16" s="102" t="s">
        <v>6</v>
      </c>
      <c r="C16" s="101">
        <v>20143</v>
      </c>
      <c r="D16" s="101">
        <v>32436</v>
      </c>
      <c r="E16" s="101">
        <v>1273121.78</v>
      </c>
      <c r="F16" s="101">
        <v>1553116.63</v>
      </c>
      <c r="G16" s="101">
        <v>192182.56</v>
      </c>
      <c r="H16" s="101">
        <v>863646.52</v>
      </c>
      <c r="I16" s="101">
        <v>326457.95</v>
      </c>
      <c r="J16" s="101">
        <v>689470.11</v>
      </c>
      <c r="K16" s="101">
        <v>595058.39</v>
      </c>
      <c r="L16" s="101">
        <v>0</v>
      </c>
      <c r="M16" s="101">
        <v>0</v>
      </c>
      <c r="N16" s="101">
        <v>0</v>
      </c>
      <c r="O16" s="101">
        <v>0</v>
      </c>
      <c r="P16" s="101">
        <v>94411.72</v>
      </c>
      <c r="Q16" s="101">
        <v>77655.83</v>
      </c>
      <c r="R16" s="101">
        <v>34489</v>
      </c>
      <c r="S16" s="101">
        <v>55845</v>
      </c>
      <c r="T16" s="101">
        <v>2159652.11</v>
      </c>
      <c r="U16" s="101">
        <v>2629986.15</v>
      </c>
      <c r="V16" s="101">
        <v>321590.65999999997</v>
      </c>
      <c r="W16" s="101">
        <v>1448239.07</v>
      </c>
      <c r="X16" s="101">
        <v>559642.19999999995</v>
      </c>
      <c r="Y16" s="101">
        <v>1181747.08</v>
      </c>
      <c r="Z16" s="101">
        <v>756247.82</v>
      </c>
      <c r="AA16" s="101">
        <v>0</v>
      </c>
      <c r="AB16" s="101">
        <v>0</v>
      </c>
      <c r="AC16" s="101">
        <v>0</v>
      </c>
      <c r="AD16" s="101">
        <v>0</v>
      </c>
      <c r="AE16" s="101">
        <v>425499.26</v>
      </c>
      <c r="AF16" s="101">
        <v>131499.29999999999</v>
      </c>
      <c r="AG16" s="101">
        <v>21830</v>
      </c>
      <c r="AH16" s="101">
        <v>32436</v>
      </c>
      <c r="AI16" s="101">
        <v>1295923.52</v>
      </c>
      <c r="AJ16" s="101">
        <v>1606105.76</v>
      </c>
      <c r="AK16" s="101">
        <v>227279.86</v>
      </c>
      <c r="AL16" s="101">
        <v>856521.77</v>
      </c>
      <c r="AM16" s="101">
        <v>294556.49</v>
      </c>
      <c r="AN16" s="101">
        <v>749583.99</v>
      </c>
      <c r="AO16" s="101">
        <v>653505.80000000005</v>
      </c>
      <c r="AP16" s="101">
        <v>0</v>
      </c>
      <c r="AQ16" s="101">
        <v>0</v>
      </c>
      <c r="AR16" s="101">
        <v>0</v>
      </c>
      <c r="AS16" s="101">
        <v>0</v>
      </c>
      <c r="AT16" s="101">
        <v>96078.19</v>
      </c>
      <c r="AU16" s="101">
        <v>80204.84</v>
      </c>
    </row>
    <row r="17" spans="1:47">
      <c r="A17" s="102" t="s">
        <v>306</v>
      </c>
      <c r="B17" s="102" t="s">
        <v>10</v>
      </c>
      <c r="C17" s="101">
        <v>17498</v>
      </c>
      <c r="D17" s="101">
        <v>25864</v>
      </c>
      <c r="E17" s="101">
        <v>1153687.22</v>
      </c>
      <c r="F17" s="101">
        <v>1353043.22</v>
      </c>
      <c r="G17" s="101">
        <v>150327</v>
      </c>
      <c r="H17" s="101">
        <v>733565.63</v>
      </c>
      <c r="I17" s="101">
        <v>376158.63</v>
      </c>
      <c r="J17" s="101">
        <v>619477.59</v>
      </c>
      <c r="K17" s="101">
        <v>897262.37</v>
      </c>
      <c r="L17" s="101">
        <v>0</v>
      </c>
      <c r="M17" s="101">
        <v>0</v>
      </c>
      <c r="N17" s="101">
        <v>0</v>
      </c>
      <c r="O17" s="101">
        <v>0</v>
      </c>
      <c r="P17" s="101">
        <v>-277784.78000000003</v>
      </c>
      <c r="Q17" s="101">
        <v>66662.3</v>
      </c>
      <c r="R17" s="101">
        <v>29872</v>
      </c>
      <c r="S17" s="101">
        <v>44530</v>
      </c>
      <c r="T17" s="101">
        <v>1960584.02</v>
      </c>
      <c r="U17" s="101">
        <v>2280393.02</v>
      </c>
      <c r="V17" s="101">
        <v>244017</v>
      </c>
      <c r="W17" s="101">
        <v>1248338.1599999999</v>
      </c>
      <c r="X17" s="101">
        <v>644569.07999999996</v>
      </c>
      <c r="Y17" s="101">
        <v>1032054.86</v>
      </c>
      <c r="Z17" s="101">
        <v>1538746.67</v>
      </c>
      <c r="AA17" s="101">
        <v>0</v>
      </c>
      <c r="AB17" s="101">
        <v>0</v>
      </c>
      <c r="AC17" s="101">
        <v>0</v>
      </c>
      <c r="AD17" s="101">
        <v>0</v>
      </c>
      <c r="AE17" s="101">
        <v>-506691.81</v>
      </c>
      <c r="AF17" s="101">
        <v>112413.15</v>
      </c>
      <c r="AG17" s="101">
        <v>17261</v>
      </c>
      <c r="AH17" s="101">
        <v>25864</v>
      </c>
      <c r="AI17" s="101">
        <v>1151921.07</v>
      </c>
      <c r="AJ17" s="101">
        <v>1330148.6100000001</v>
      </c>
      <c r="AK17" s="101">
        <v>138411.24</v>
      </c>
      <c r="AL17" s="101">
        <v>731138.83</v>
      </c>
      <c r="AM17" s="101">
        <v>338210.23</v>
      </c>
      <c r="AN17" s="101">
        <v>599009.78</v>
      </c>
      <c r="AO17" s="101">
        <v>525000</v>
      </c>
      <c r="AP17" s="101">
        <v>0</v>
      </c>
      <c r="AQ17" s="101">
        <v>0</v>
      </c>
      <c r="AR17" s="101">
        <v>0</v>
      </c>
      <c r="AS17" s="101">
        <v>0</v>
      </c>
      <c r="AT17" s="101">
        <v>74009.78</v>
      </c>
      <c r="AU17" s="101">
        <v>66406.679999999993</v>
      </c>
    </row>
    <row r="18" spans="1:47">
      <c r="A18" s="102" t="s">
        <v>307</v>
      </c>
      <c r="B18" s="102" t="s">
        <v>25</v>
      </c>
      <c r="C18" s="101">
        <v>23592</v>
      </c>
      <c r="D18" s="101">
        <v>32860</v>
      </c>
      <c r="E18" s="101">
        <v>1831170.97</v>
      </c>
      <c r="F18" s="101">
        <v>2891720.97</v>
      </c>
      <c r="G18" s="101">
        <v>714950</v>
      </c>
      <c r="H18" s="101">
        <v>1556795.4</v>
      </c>
      <c r="I18" s="101">
        <v>656928.4</v>
      </c>
      <c r="J18" s="101">
        <v>1334925.57</v>
      </c>
      <c r="K18" s="101">
        <v>1351070</v>
      </c>
      <c r="L18" s="101">
        <v>0</v>
      </c>
      <c r="M18" s="101">
        <v>0</v>
      </c>
      <c r="N18" s="101">
        <v>-188930</v>
      </c>
      <c r="O18" s="101">
        <v>0</v>
      </c>
      <c r="P18" s="101">
        <v>-16144.43</v>
      </c>
      <c r="Q18" s="101">
        <v>144586</v>
      </c>
      <c r="R18" s="101">
        <v>40187</v>
      </c>
      <c r="S18" s="101">
        <v>56575</v>
      </c>
      <c r="T18" s="101">
        <v>3163051.42</v>
      </c>
      <c r="U18" s="101">
        <v>4837301.42</v>
      </c>
      <c r="V18" s="101">
        <v>1137650</v>
      </c>
      <c r="W18" s="101">
        <v>2615752.4</v>
      </c>
      <c r="X18" s="101">
        <v>1130848.3999999999</v>
      </c>
      <c r="Y18" s="101">
        <v>2221549.02</v>
      </c>
      <c r="Z18" s="101">
        <v>2316120</v>
      </c>
      <c r="AA18" s="101">
        <v>0</v>
      </c>
      <c r="AB18" s="101">
        <v>0</v>
      </c>
      <c r="AC18" s="101">
        <v>-323880</v>
      </c>
      <c r="AD18" s="101">
        <v>0</v>
      </c>
      <c r="AE18" s="101">
        <v>-94570.98</v>
      </c>
      <c r="AF18" s="101">
        <v>240379</v>
      </c>
      <c r="AG18" s="101">
        <v>24399</v>
      </c>
      <c r="AH18" s="101">
        <v>32860</v>
      </c>
      <c r="AI18" s="101">
        <v>1898612.8</v>
      </c>
      <c r="AJ18" s="101">
        <v>3070269.0000000009</v>
      </c>
      <c r="AK18" s="101">
        <v>827776.57</v>
      </c>
      <c r="AL18" s="101">
        <v>1784289.4400000011</v>
      </c>
      <c r="AM18" s="101">
        <v>623530.43000000005</v>
      </c>
      <c r="AN18" s="101">
        <v>1285979.56</v>
      </c>
      <c r="AO18" s="101">
        <v>1255848.8899999999</v>
      </c>
      <c r="AP18" s="101">
        <v>0</v>
      </c>
      <c r="AQ18" s="101">
        <v>0</v>
      </c>
      <c r="AR18" s="101">
        <v>-169753.02</v>
      </c>
      <c r="AS18" s="101">
        <v>0</v>
      </c>
      <c r="AT18" s="101">
        <v>30130.67</v>
      </c>
      <c r="AU18" s="101">
        <v>153458.99</v>
      </c>
    </row>
    <row r="19" spans="1:47">
      <c r="A19" s="102" t="s">
        <v>308</v>
      </c>
      <c r="B19" s="102" t="s">
        <v>32</v>
      </c>
      <c r="C19" s="101">
        <v>19058</v>
      </c>
      <c r="D19" s="101">
        <v>26426</v>
      </c>
      <c r="E19" s="101">
        <v>1648782.53</v>
      </c>
      <c r="F19" s="101">
        <v>2257962.5300000012</v>
      </c>
      <c r="G19" s="101">
        <v>360495</v>
      </c>
      <c r="H19" s="101">
        <v>1262140.83</v>
      </c>
      <c r="I19" s="101">
        <v>524142.69</v>
      </c>
      <c r="J19" s="101">
        <v>995821.7</v>
      </c>
      <c r="K19" s="101">
        <v>1135352</v>
      </c>
      <c r="L19" s="101">
        <v>183750</v>
      </c>
      <c r="M19" s="101">
        <v>0</v>
      </c>
      <c r="N19" s="101">
        <v>0</v>
      </c>
      <c r="O19" s="101">
        <v>0</v>
      </c>
      <c r="P19" s="101">
        <v>-323280.3</v>
      </c>
      <c r="Q19" s="101">
        <v>112898.12</v>
      </c>
      <c r="R19" s="101">
        <v>29598</v>
      </c>
      <c r="S19" s="101">
        <v>44238</v>
      </c>
      <c r="T19" s="101">
        <v>2646335.4900000002</v>
      </c>
      <c r="U19" s="101">
        <v>3616108.49</v>
      </c>
      <c r="V19" s="101">
        <v>571787</v>
      </c>
      <c r="W19" s="101">
        <v>2082557.12</v>
      </c>
      <c r="X19" s="101">
        <v>889742.04</v>
      </c>
      <c r="Y19" s="101">
        <v>1533551.37</v>
      </c>
      <c r="Z19" s="101">
        <v>2043762</v>
      </c>
      <c r="AA19" s="101">
        <v>315000</v>
      </c>
      <c r="AB19" s="101">
        <v>0</v>
      </c>
      <c r="AC19" s="101">
        <v>0</v>
      </c>
      <c r="AD19" s="101">
        <v>0</v>
      </c>
      <c r="AE19" s="101">
        <v>-825210.63</v>
      </c>
      <c r="AF19" s="101">
        <v>180805.42</v>
      </c>
      <c r="AG19" s="101">
        <v>23557</v>
      </c>
      <c r="AH19" s="101">
        <v>30952</v>
      </c>
      <c r="AI19" s="101">
        <v>2001160.95</v>
      </c>
      <c r="AJ19" s="101">
        <v>2559697.0200000009</v>
      </c>
      <c r="AK19" s="101">
        <v>384110.75</v>
      </c>
      <c r="AL19" s="101">
        <v>1396764.27</v>
      </c>
      <c r="AM19" s="101">
        <v>530081.26</v>
      </c>
      <c r="AN19" s="101">
        <v>1162932.75</v>
      </c>
      <c r="AO19" s="101">
        <v>850177.51</v>
      </c>
      <c r="AP19" s="101">
        <v>156317.19</v>
      </c>
      <c r="AQ19" s="101">
        <v>0</v>
      </c>
      <c r="AR19" s="101">
        <v>-314573.98</v>
      </c>
      <c r="AS19" s="101">
        <v>0</v>
      </c>
      <c r="AT19" s="101">
        <v>156438.04999999999</v>
      </c>
      <c r="AU19" s="101">
        <v>127849.42</v>
      </c>
    </row>
    <row r="20" spans="1:47">
      <c r="A20" s="102" t="s">
        <v>309</v>
      </c>
      <c r="B20" s="102" t="s">
        <v>21</v>
      </c>
      <c r="C20" s="101">
        <v>22585</v>
      </c>
      <c r="D20" s="101">
        <v>32860</v>
      </c>
      <c r="E20" s="101">
        <v>1371377.77</v>
      </c>
      <c r="F20" s="101">
        <v>1923700.71</v>
      </c>
      <c r="G20" s="101">
        <v>421097.94</v>
      </c>
      <c r="H20" s="101">
        <v>1184216.06</v>
      </c>
      <c r="I20" s="101">
        <v>504878.15</v>
      </c>
      <c r="J20" s="101">
        <v>739484.65</v>
      </c>
      <c r="K20" s="101">
        <v>985430.25</v>
      </c>
      <c r="L20" s="101">
        <v>79296</v>
      </c>
      <c r="M20" s="101">
        <v>0</v>
      </c>
      <c r="N20" s="101">
        <v>0</v>
      </c>
      <c r="O20" s="101">
        <v>0</v>
      </c>
      <c r="P20" s="101">
        <v>-325241.59999999998</v>
      </c>
      <c r="Q20" s="101">
        <v>96186</v>
      </c>
      <c r="R20" s="101">
        <v>39125</v>
      </c>
      <c r="S20" s="101">
        <v>56575</v>
      </c>
      <c r="T20" s="101">
        <v>2454648.1</v>
      </c>
      <c r="U20" s="101">
        <v>3402457.81</v>
      </c>
      <c r="V20" s="101">
        <v>723253.71</v>
      </c>
      <c r="W20" s="101">
        <v>2031994.66</v>
      </c>
      <c r="X20" s="101">
        <v>865505.4</v>
      </c>
      <c r="Y20" s="101">
        <v>1370463.15</v>
      </c>
      <c r="Z20" s="101">
        <v>1689309</v>
      </c>
      <c r="AA20" s="101">
        <v>135936</v>
      </c>
      <c r="AB20" s="101">
        <v>0</v>
      </c>
      <c r="AC20" s="101">
        <v>0</v>
      </c>
      <c r="AD20" s="101">
        <v>0</v>
      </c>
      <c r="AE20" s="101">
        <v>-454781.85</v>
      </c>
      <c r="AF20" s="101">
        <v>170125</v>
      </c>
      <c r="AG20" s="101">
        <v>22156</v>
      </c>
      <c r="AH20" s="101">
        <v>32860</v>
      </c>
      <c r="AI20" s="101">
        <v>1461926.25</v>
      </c>
      <c r="AJ20" s="101">
        <v>2055462.84</v>
      </c>
      <c r="AK20" s="101">
        <v>462609.1</v>
      </c>
      <c r="AL20" s="101">
        <v>1235588.4099999999</v>
      </c>
      <c r="AM20" s="101">
        <v>518626.89</v>
      </c>
      <c r="AN20" s="101">
        <v>819874.43</v>
      </c>
      <c r="AO20" s="101">
        <v>852003.4</v>
      </c>
      <c r="AP20" s="101">
        <v>67968</v>
      </c>
      <c r="AQ20" s="101">
        <v>0</v>
      </c>
      <c r="AR20" s="101">
        <v>0</v>
      </c>
      <c r="AS20" s="101">
        <v>0</v>
      </c>
      <c r="AT20" s="101">
        <v>-100096.97</v>
      </c>
      <c r="AU20" s="101">
        <v>102709.93</v>
      </c>
    </row>
    <row r="21" spans="1:47">
      <c r="A21" s="102" t="s">
        <v>310</v>
      </c>
      <c r="B21" s="102" t="s">
        <v>621</v>
      </c>
      <c r="C21" s="101">
        <v>36961.19</v>
      </c>
      <c r="D21" s="101">
        <v>56392</v>
      </c>
      <c r="E21" s="101">
        <v>2081617.5</v>
      </c>
      <c r="F21" s="101">
        <v>2719952.71</v>
      </c>
      <c r="G21" s="101">
        <v>532760.29</v>
      </c>
      <c r="H21" s="101">
        <v>1711644.25</v>
      </c>
      <c r="I21" s="101">
        <v>649766.11</v>
      </c>
      <c r="J21" s="101">
        <v>1008308.46</v>
      </c>
      <c r="K21" s="101">
        <v>1315029.8400000001</v>
      </c>
      <c r="L21" s="101">
        <v>89061</v>
      </c>
      <c r="M21" s="101">
        <v>0</v>
      </c>
      <c r="N21" s="101">
        <v>0</v>
      </c>
      <c r="O21" s="101">
        <v>0</v>
      </c>
      <c r="P21" s="101">
        <v>-395782.38</v>
      </c>
      <c r="Q21" s="101">
        <v>131297.82</v>
      </c>
      <c r="R21" s="101">
        <v>63943.35</v>
      </c>
      <c r="S21" s="101">
        <v>97090</v>
      </c>
      <c r="T21" s="101">
        <v>3635719.37</v>
      </c>
      <c r="U21" s="101">
        <v>4713984.950000002</v>
      </c>
      <c r="V21" s="101">
        <v>897139.69</v>
      </c>
      <c r="W21" s="101">
        <v>2905597.21</v>
      </c>
      <c r="X21" s="101">
        <v>1111920.76</v>
      </c>
      <c r="Y21" s="101">
        <v>1808387.7400000009</v>
      </c>
      <c r="Z21" s="101">
        <v>2255175.6800000002</v>
      </c>
      <c r="AA21" s="101">
        <v>152676</v>
      </c>
      <c r="AB21" s="101">
        <v>0</v>
      </c>
      <c r="AC21" s="101">
        <v>0</v>
      </c>
      <c r="AD21" s="101">
        <v>0</v>
      </c>
      <c r="AE21" s="101">
        <v>-599463.93999999994</v>
      </c>
      <c r="AF21" s="101">
        <v>228759.04000000001</v>
      </c>
      <c r="AG21" s="101">
        <v>38791</v>
      </c>
      <c r="AH21" s="101">
        <v>56392</v>
      </c>
      <c r="AI21" s="101">
        <v>2066270.63</v>
      </c>
      <c r="AJ21" s="101">
        <v>2696899.25</v>
      </c>
      <c r="AK21" s="101">
        <v>506740.31</v>
      </c>
      <c r="AL21" s="101">
        <v>1923568.27</v>
      </c>
      <c r="AM21" s="101">
        <v>687454.91</v>
      </c>
      <c r="AN21" s="101">
        <v>773330.98</v>
      </c>
      <c r="AO21" s="101">
        <v>816666.62</v>
      </c>
      <c r="AP21" s="101">
        <v>78289.440000000002</v>
      </c>
      <c r="AQ21" s="101">
        <v>0</v>
      </c>
      <c r="AR21" s="101">
        <v>0</v>
      </c>
      <c r="AS21" s="101">
        <v>0</v>
      </c>
      <c r="AT21" s="101">
        <v>-121625.08</v>
      </c>
      <c r="AU21" s="101">
        <v>134750.39999999999</v>
      </c>
    </row>
    <row r="22" spans="1:47">
      <c r="A22" s="102" t="s">
        <v>311</v>
      </c>
      <c r="B22" s="102" t="s">
        <v>69</v>
      </c>
      <c r="C22" s="101">
        <v>12467</v>
      </c>
      <c r="D22" s="101">
        <v>14416</v>
      </c>
      <c r="E22" s="101">
        <v>902971.42</v>
      </c>
      <c r="F22" s="101">
        <v>1034970.42</v>
      </c>
      <c r="G22" s="101">
        <v>93611</v>
      </c>
      <c r="H22" s="101">
        <v>444980.47</v>
      </c>
      <c r="I22" s="101">
        <v>199171</v>
      </c>
      <c r="J22" s="101">
        <v>589989.94999999995</v>
      </c>
      <c r="K22" s="101">
        <v>182928</v>
      </c>
      <c r="L22" s="101">
        <v>0</v>
      </c>
      <c r="M22" s="101">
        <v>0</v>
      </c>
      <c r="N22" s="101">
        <v>0</v>
      </c>
      <c r="O22" s="101">
        <v>0</v>
      </c>
      <c r="P22" s="101">
        <v>407061.95</v>
      </c>
      <c r="Q22" s="101">
        <v>51748</v>
      </c>
      <c r="R22" s="101">
        <v>20969</v>
      </c>
      <c r="S22" s="101">
        <v>24820</v>
      </c>
      <c r="T22" s="101">
        <v>1513690.03</v>
      </c>
      <c r="U22" s="101">
        <v>1725216.03</v>
      </c>
      <c r="V22" s="101">
        <v>155390</v>
      </c>
      <c r="W22" s="101">
        <v>767913.55</v>
      </c>
      <c r="X22" s="101">
        <v>349414</v>
      </c>
      <c r="Y22" s="101">
        <v>957302.48</v>
      </c>
      <c r="Z22" s="101">
        <v>311138</v>
      </c>
      <c r="AA22" s="101">
        <v>0</v>
      </c>
      <c r="AB22" s="101">
        <v>0</v>
      </c>
      <c r="AC22" s="101">
        <v>0</v>
      </c>
      <c r="AD22" s="101">
        <v>0</v>
      </c>
      <c r="AE22" s="101">
        <v>646164.47999999998</v>
      </c>
      <c r="AF22" s="101">
        <v>86258</v>
      </c>
      <c r="AG22" s="101">
        <v>11415</v>
      </c>
      <c r="AH22" s="101">
        <v>14416</v>
      </c>
      <c r="AI22" s="101">
        <v>852629.25</v>
      </c>
      <c r="AJ22" s="101">
        <v>976268.07</v>
      </c>
      <c r="AK22" s="101">
        <v>89859.28</v>
      </c>
      <c r="AL22" s="101">
        <v>436705.94</v>
      </c>
      <c r="AM22" s="101">
        <v>187564.71</v>
      </c>
      <c r="AN22" s="101">
        <v>539562.13</v>
      </c>
      <c r="AO22" s="101">
        <v>177766.94</v>
      </c>
      <c r="AP22" s="101">
        <v>0</v>
      </c>
      <c r="AQ22" s="101">
        <v>0</v>
      </c>
      <c r="AR22" s="101">
        <v>0</v>
      </c>
      <c r="AS22" s="101">
        <v>0</v>
      </c>
      <c r="AT22" s="101">
        <v>361795.19</v>
      </c>
      <c r="AU22" s="101">
        <v>47970.85</v>
      </c>
    </row>
    <row r="23" spans="1:47">
      <c r="A23" s="102" t="s">
        <v>624</v>
      </c>
      <c r="B23" s="102" t="s">
        <v>625</v>
      </c>
      <c r="C23" s="101">
        <v>15215.33</v>
      </c>
      <c r="D23" s="101">
        <v>21200</v>
      </c>
      <c r="E23" s="101">
        <v>1422378.65</v>
      </c>
      <c r="F23" s="101">
        <v>1688747.04</v>
      </c>
      <c r="G23" s="101">
        <v>202700</v>
      </c>
      <c r="H23" s="101">
        <v>758121.57</v>
      </c>
      <c r="I23" s="101">
        <v>245637</v>
      </c>
      <c r="J23" s="101">
        <v>930625.47</v>
      </c>
      <c r="K23" s="101">
        <v>0</v>
      </c>
      <c r="L23" s="101">
        <v>31150</v>
      </c>
      <c r="M23" s="101">
        <v>0</v>
      </c>
      <c r="N23" s="101">
        <v>0</v>
      </c>
      <c r="O23" s="101">
        <v>0</v>
      </c>
      <c r="P23" s="101">
        <v>899475.47</v>
      </c>
      <c r="Q23" s="101">
        <v>84368.61</v>
      </c>
      <c r="R23" s="101">
        <v>25885.33</v>
      </c>
      <c r="S23" s="101">
        <v>36500</v>
      </c>
      <c r="T23" s="101">
        <v>2447255.27</v>
      </c>
      <c r="U23" s="101">
        <v>2888915.21</v>
      </c>
      <c r="V23" s="101">
        <v>334300</v>
      </c>
      <c r="W23" s="101">
        <v>1295635.71</v>
      </c>
      <c r="X23" s="101">
        <v>421092</v>
      </c>
      <c r="Y23" s="101">
        <v>1593279.5</v>
      </c>
      <c r="Z23" s="101">
        <v>0</v>
      </c>
      <c r="AA23" s="101">
        <v>53400</v>
      </c>
      <c r="AB23" s="101">
        <v>0</v>
      </c>
      <c r="AC23" s="101">
        <v>0</v>
      </c>
      <c r="AD23" s="101">
        <v>0</v>
      </c>
      <c r="AE23" s="101">
        <v>1539879.5</v>
      </c>
      <c r="AF23" s="101">
        <v>144519.54999999999</v>
      </c>
      <c r="AG23" s="101">
        <v>14813</v>
      </c>
      <c r="AH23" s="101">
        <v>21200</v>
      </c>
      <c r="AI23" s="101">
        <v>1404853.74</v>
      </c>
      <c r="AJ23" s="101">
        <v>1656239.27</v>
      </c>
      <c r="AK23" s="101">
        <v>204869.99</v>
      </c>
      <c r="AL23" s="101">
        <v>792230.89</v>
      </c>
      <c r="AM23" s="101">
        <v>237627.88</v>
      </c>
      <c r="AN23" s="101">
        <v>864008.38</v>
      </c>
      <c r="AO23" s="101">
        <v>0</v>
      </c>
      <c r="AP23" s="101">
        <v>28974</v>
      </c>
      <c r="AQ23" s="101">
        <v>0</v>
      </c>
      <c r="AR23" s="101">
        <v>0</v>
      </c>
      <c r="AS23" s="101">
        <v>0</v>
      </c>
      <c r="AT23" s="101">
        <v>835034.38</v>
      </c>
      <c r="AU23" s="101">
        <v>82708.89</v>
      </c>
    </row>
    <row r="24" spans="1:47">
      <c r="A24" s="102" t="s">
        <v>312</v>
      </c>
      <c r="B24" s="102" t="s">
        <v>14</v>
      </c>
      <c r="C24" s="101">
        <v>19964</v>
      </c>
      <c r="D24" s="101">
        <v>30952</v>
      </c>
      <c r="E24" s="101">
        <v>1442300.9</v>
      </c>
      <c r="F24" s="101">
        <v>1875912.9</v>
      </c>
      <c r="G24" s="101">
        <v>322222</v>
      </c>
      <c r="H24" s="101">
        <v>1228947.8999999999</v>
      </c>
      <c r="I24" s="101">
        <v>499961</v>
      </c>
      <c r="J24" s="101">
        <v>646965</v>
      </c>
      <c r="K24" s="101">
        <v>1154105</v>
      </c>
      <c r="L24" s="101">
        <v>0</v>
      </c>
      <c r="M24" s="101">
        <v>0</v>
      </c>
      <c r="N24" s="101">
        <v>-831390</v>
      </c>
      <c r="O24" s="101">
        <v>0</v>
      </c>
      <c r="P24" s="101">
        <v>-507140</v>
      </c>
      <c r="Q24" s="101">
        <v>93796</v>
      </c>
      <c r="R24" s="101">
        <v>35021</v>
      </c>
      <c r="S24" s="101">
        <v>53290</v>
      </c>
      <c r="T24" s="101">
        <v>2584923.4</v>
      </c>
      <c r="U24" s="101">
        <v>3336587.4</v>
      </c>
      <c r="V24" s="101">
        <v>564641</v>
      </c>
      <c r="W24" s="101">
        <v>2069365.4</v>
      </c>
      <c r="X24" s="101">
        <v>857076</v>
      </c>
      <c r="Y24" s="101">
        <v>1267222</v>
      </c>
      <c r="Z24" s="101">
        <v>1965916</v>
      </c>
      <c r="AA24" s="101">
        <v>0</v>
      </c>
      <c r="AB24" s="101">
        <v>0</v>
      </c>
      <c r="AC24" s="101">
        <v>-1425240</v>
      </c>
      <c r="AD24" s="101">
        <v>0</v>
      </c>
      <c r="AE24" s="101">
        <v>-698694</v>
      </c>
      <c r="AF24" s="101">
        <v>166828</v>
      </c>
      <c r="AG24" s="101">
        <v>21187</v>
      </c>
      <c r="AH24" s="101">
        <v>30952</v>
      </c>
      <c r="AI24" s="101">
        <v>1539411.38</v>
      </c>
      <c r="AJ24" s="101">
        <v>1985254.66</v>
      </c>
      <c r="AK24" s="101">
        <v>342789.89</v>
      </c>
      <c r="AL24" s="101">
        <v>1254857.1299999999</v>
      </c>
      <c r="AM24" s="101">
        <v>499925.82</v>
      </c>
      <c r="AN24" s="101">
        <v>730397.53</v>
      </c>
      <c r="AO24" s="101">
        <v>1132649.78</v>
      </c>
      <c r="AP24" s="101">
        <v>60114</v>
      </c>
      <c r="AQ24" s="101">
        <v>0</v>
      </c>
      <c r="AR24" s="101">
        <v>-852794.11</v>
      </c>
      <c r="AS24" s="101">
        <v>0</v>
      </c>
      <c r="AT24" s="101">
        <v>-462366.25</v>
      </c>
      <c r="AU24" s="101">
        <v>99143.57</v>
      </c>
    </row>
    <row r="25" spans="1:47">
      <c r="A25" s="102" t="s">
        <v>313</v>
      </c>
      <c r="B25" s="102" t="s">
        <v>46</v>
      </c>
      <c r="C25" s="101">
        <v>21222</v>
      </c>
      <c r="D25" s="101">
        <v>36676</v>
      </c>
      <c r="E25" s="101">
        <v>923064.38</v>
      </c>
      <c r="F25" s="101">
        <v>1140598.3799999999</v>
      </c>
      <c r="G25" s="101">
        <v>182876</v>
      </c>
      <c r="H25" s="101">
        <v>957237.8</v>
      </c>
      <c r="I25" s="101">
        <v>441316</v>
      </c>
      <c r="J25" s="101">
        <v>183360.58</v>
      </c>
      <c r="K25" s="101">
        <v>510980.62</v>
      </c>
      <c r="L25" s="101">
        <v>0</v>
      </c>
      <c r="M25" s="101">
        <v>0</v>
      </c>
      <c r="N25" s="101">
        <v>0</v>
      </c>
      <c r="O25" s="101">
        <v>0</v>
      </c>
      <c r="P25" s="101">
        <v>-327620.03999999998</v>
      </c>
      <c r="Q25" s="101">
        <v>56911</v>
      </c>
      <c r="R25" s="101">
        <v>35888</v>
      </c>
      <c r="S25" s="101">
        <v>63145</v>
      </c>
      <c r="T25" s="101">
        <v>1580315.99</v>
      </c>
      <c r="U25" s="101">
        <v>1941652.99</v>
      </c>
      <c r="V25" s="101">
        <v>303884</v>
      </c>
      <c r="W25" s="101">
        <v>1632079.15</v>
      </c>
      <c r="X25" s="101">
        <v>756514</v>
      </c>
      <c r="Y25" s="101">
        <v>309573.84000000003</v>
      </c>
      <c r="Z25" s="101">
        <v>876411.24</v>
      </c>
      <c r="AA25" s="101">
        <v>0</v>
      </c>
      <c r="AB25" s="101">
        <v>0</v>
      </c>
      <c r="AC25" s="101">
        <v>0</v>
      </c>
      <c r="AD25" s="101">
        <v>0</v>
      </c>
      <c r="AE25" s="101">
        <v>-566837.4</v>
      </c>
      <c r="AF25" s="101">
        <v>96858</v>
      </c>
      <c r="AG25" s="101">
        <v>21481</v>
      </c>
      <c r="AH25" s="101">
        <v>36676</v>
      </c>
      <c r="AI25" s="101">
        <v>961121.59</v>
      </c>
      <c r="AJ25" s="101">
        <v>1261050</v>
      </c>
      <c r="AK25" s="101">
        <v>263868.59000000003</v>
      </c>
      <c r="AL25" s="101">
        <v>1051266.73</v>
      </c>
      <c r="AM25" s="101">
        <v>467268.25</v>
      </c>
      <c r="AN25" s="101">
        <v>209783.27</v>
      </c>
      <c r="AO25" s="101">
        <v>261100</v>
      </c>
      <c r="AP25" s="101">
        <v>0</v>
      </c>
      <c r="AQ25" s="101">
        <v>0</v>
      </c>
      <c r="AR25" s="101">
        <v>0</v>
      </c>
      <c r="AS25" s="101">
        <v>0</v>
      </c>
      <c r="AT25" s="101">
        <v>-51316.73</v>
      </c>
      <c r="AU25" s="101">
        <v>62977.57</v>
      </c>
    </row>
    <row r="26" spans="1:47">
      <c r="A26" s="102" t="s">
        <v>314</v>
      </c>
      <c r="B26" s="102" t="s">
        <v>39</v>
      </c>
      <c r="C26" s="101">
        <v>9019</v>
      </c>
      <c r="D26" s="101">
        <v>13144</v>
      </c>
      <c r="E26" s="101">
        <v>567721</v>
      </c>
      <c r="F26" s="101">
        <v>654861</v>
      </c>
      <c r="G26" s="101">
        <v>57079</v>
      </c>
      <c r="H26" s="101">
        <v>398856.01</v>
      </c>
      <c r="I26" s="101">
        <v>156263.26</v>
      </c>
      <c r="J26" s="101">
        <v>256004.99</v>
      </c>
      <c r="K26" s="101">
        <v>236899.02</v>
      </c>
      <c r="L26" s="101">
        <v>0</v>
      </c>
      <c r="M26" s="101">
        <v>0</v>
      </c>
      <c r="N26" s="101">
        <v>0</v>
      </c>
      <c r="O26" s="101">
        <v>0</v>
      </c>
      <c r="P26" s="101">
        <v>19105.97</v>
      </c>
      <c r="Q26" s="101">
        <v>32742</v>
      </c>
      <c r="R26" s="101">
        <v>15707</v>
      </c>
      <c r="S26" s="101">
        <v>22630</v>
      </c>
      <c r="T26" s="101">
        <v>969035</v>
      </c>
      <c r="U26" s="101">
        <v>1112593</v>
      </c>
      <c r="V26" s="101">
        <v>94759</v>
      </c>
      <c r="W26" s="101">
        <v>682322.06</v>
      </c>
      <c r="X26" s="101">
        <v>270862.40999999997</v>
      </c>
      <c r="Y26" s="101">
        <v>430270.94</v>
      </c>
      <c r="Z26" s="101">
        <v>406348.04</v>
      </c>
      <c r="AA26" s="101">
        <v>0</v>
      </c>
      <c r="AB26" s="101">
        <v>0</v>
      </c>
      <c r="AC26" s="101">
        <v>0</v>
      </c>
      <c r="AD26" s="101">
        <v>0</v>
      </c>
      <c r="AE26" s="101">
        <v>23922.9</v>
      </c>
      <c r="AF26" s="101">
        <v>55627</v>
      </c>
      <c r="AG26" s="101">
        <v>9075</v>
      </c>
      <c r="AH26" s="101">
        <v>13144</v>
      </c>
      <c r="AI26" s="101">
        <v>570621.94999999995</v>
      </c>
      <c r="AJ26" s="101">
        <v>653958.92000000004</v>
      </c>
      <c r="AK26" s="101">
        <v>57002.76</v>
      </c>
      <c r="AL26" s="101">
        <v>421502.79</v>
      </c>
      <c r="AM26" s="101">
        <v>188636.77</v>
      </c>
      <c r="AN26" s="101">
        <v>232456.13</v>
      </c>
      <c r="AO26" s="101">
        <v>235273</v>
      </c>
      <c r="AP26" s="101">
        <v>0</v>
      </c>
      <c r="AQ26" s="101">
        <v>0</v>
      </c>
      <c r="AR26" s="101">
        <v>0</v>
      </c>
      <c r="AS26" s="101">
        <v>0</v>
      </c>
      <c r="AT26" s="101">
        <v>-2816.87</v>
      </c>
      <c r="AU26" s="101">
        <v>32660.27</v>
      </c>
    </row>
    <row r="27" spans="1:47">
      <c r="A27" s="102" t="s">
        <v>315</v>
      </c>
      <c r="B27" s="102" t="s">
        <v>18</v>
      </c>
      <c r="C27" s="101">
        <v>28117</v>
      </c>
      <c r="D27" s="101">
        <v>47488</v>
      </c>
      <c r="E27" s="101">
        <v>1595191.06</v>
      </c>
      <c r="F27" s="101">
        <v>2591261.06</v>
      </c>
      <c r="G27" s="101">
        <v>779090</v>
      </c>
      <c r="H27" s="101">
        <v>1578353.1</v>
      </c>
      <c r="I27" s="101">
        <v>505319.08</v>
      </c>
      <c r="J27" s="101">
        <v>1012907.96</v>
      </c>
      <c r="K27" s="101">
        <v>1424353.2</v>
      </c>
      <c r="L27" s="101">
        <v>0</v>
      </c>
      <c r="M27" s="101">
        <v>0</v>
      </c>
      <c r="N27" s="101">
        <v>0</v>
      </c>
      <c r="O27" s="101">
        <v>0</v>
      </c>
      <c r="P27" s="101">
        <v>-411445.24</v>
      </c>
      <c r="Q27" s="101">
        <v>129518.73</v>
      </c>
      <c r="R27" s="101">
        <v>50074</v>
      </c>
      <c r="S27" s="101">
        <v>81760</v>
      </c>
      <c r="T27" s="101">
        <v>2836406.27</v>
      </c>
      <c r="U27" s="101">
        <v>4492911.2699999996</v>
      </c>
      <c r="V27" s="101">
        <v>1296375</v>
      </c>
      <c r="W27" s="101">
        <v>2715264.33</v>
      </c>
      <c r="X27" s="101">
        <v>867633.04</v>
      </c>
      <c r="Y27" s="101">
        <v>1777646.94</v>
      </c>
      <c r="Z27" s="101">
        <v>2442841.12</v>
      </c>
      <c r="AA27" s="101">
        <v>0</v>
      </c>
      <c r="AB27" s="101">
        <v>0</v>
      </c>
      <c r="AC27" s="101">
        <v>0</v>
      </c>
      <c r="AD27" s="101">
        <v>0</v>
      </c>
      <c r="AE27" s="101">
        <v>-665194.18000000005</v>
      </c>
      <c r="AF27" s="101">
        <v>224562.31</v>
      </c>
      <c r="AG27" s="101">
        <v>32472</v>
      </c>
      <c r="AH27" s="101">
        <v>47488</v>
      </c>
      <c r="AI27" s="101">
        <v>1863181.78</v>
      </c>
      <c r="AJ27" s="101">
        <v>2909279.06</v>
      </c>
      <c r="AK27" s="101">
        <v>839594.2</v>
      </c>
      <c r="AL27" s="101">
        <v>1847038.65</v>
      </c>
      <c r="AM27" s="101">
        <v>503368.36</v>
      </c>
      <c r="AN27" s="101">
        <v>1062240.4099999999</v>
      </c>
      <c r="AO27" s="101">
        <v>846729.73</v>
      </c>
      <c r="AP27" s="101">
        <v>0</v>
      </c>
      <c r="AQ27" s="101">
        <v>0</v>
      </c>
      <c r="AR27" s="101">
        <v>0</v>
      </c>
      <c r="AS27" s="101">
        <v>0</v>
      </c>
      <c r="AT27" s="101">
        <v>215510.68</v>
      </c>
      <c r="AU27" s="101">
        <v>145438.85</v>
      </c>
    </row>
    <row r="28" spans="1:47">
      <c r="A28" s="102" t="s">
        <v>316</v>
      </c>
      <c r="B28" s="102" t="s">
        <v>7</v>
      </c>
      <c r="C28" s="101">
        <v>11739</v>
      </c>
      <c r="D28" s="101">
        <v>18020</v>
      </c>
      <c r="E28" s="101">
        <v>1957687.62</v>
      </c>
      <c r="F28" s="101">
        <v>2825933.8200000012</v>
      </c>
      <c r="G28" s="101">
        <v>756250.58</v>
      </c>
      <c r="H28" s="101">
        <v>1801785.43</v>
      </c>
      <c r="I28" s="101">
        <v>693032.83</v>
      </c>
      <c r="J28" s="101">
        <v>1024148.3900000009</v>
      </c>
      <c r="K28" s="101">
        <v>865696.29</v>
      </c>
      <c r="L28" s="101">
        <v>0</v>
      </c>
      <c r="M28" s="101">
        <v>0</v>
      </c>
      <c r="N28" s="101">
        <v>0</v>
      </c>
      <c r="O28" s="101">
        <v>0</v>
      </c>
      <c r="P28" s="101">
        <v>158452.1</v>
      </c>
      <c r="Q28" s="101">
        <v>141296.70000000001</v>
      </c>
      <c r="R28" s="101">
        <v>20149</v>
      </c>
      <c r="S28" s="101">
        <v>31025</v>
      </c>
      <c r="T28" s="101">
        <v>3407753.81</v>
      </c>
      <c r="U28" s="101">
        <v>4843438.6900000013</v>
      </c>
      <c r="V28" s="101">
        <v>1243582.67</v>
      </c>
      <c r="W28" s="101">
        <v>3075491.59</v>
      </c>
      <c r="X28" s="101">
        <v>1185375.68</v>
      </c>
      <c r="Y28" s="101">
        <v>1767947.1</v>
      </c>
      <c r="Z28" s="101">
        <v>1476001.23</v>
      </c>
      <c r="AA28" s="101">
        <v>0</v>
      </c>
      <c r="AB28" s="101">
        <v>0</v>
      </c>
      <c r="AC28" s="101">
        <v>0</v>
      </c>
      <c r="AD28" s="101">
        <v>0</v>
      </c>
      <c r="AE28" s="101">
        <v>291945.87</v>
      </c>
      <c r="AF28" s="101">
        <v>242171.94</v>
      </c>
      <c r="AG28" s="101">
        <v>11185</v>
      </c>
      <c r="AH28" s="101">
        <v>18020</v>
      </c>
      <c r="AI28" s="101">
        <v>1723613.41</v>
      </c>
      <c r="AJ28" s="101">
        <v>2481454.9500000002</v>
      </c>
      <c r="AK28" s="101">
        <v>665566.59</v>
      </c>
      <c r="AL28" s="101">
        <v>1662501.83</v>
      </c>
      <c r="AM28" s="101">
        <v>602194.94999999995</v>
      </c>
      <c r="AN28" s="101">
        <v>818953.12</v>
      </c>
      <c r="AO28" s="101">
        <v>823765.04</v>
      </c>
      <c r="AP28" s="101">
        <v>0</v>
      </c>
      <c r="AQ28" s="101">
        <v>0</v>
      </c>
      <c r="AR28" s="101">
        <v>0</v>
      </c>
      <c r="AS28" s="101">
        <v>0</v>
      </c>
      <c r="AT28" s="101">
        <v>-4811.92</v>
      </c>
      <c r="AU28" s="101">
        <v>124076.81</v>
      </c>
    </row>
    <row r="29" spans="1:47">
      <c r="A29" s="102" t="s">
        <v>317</v>
      </c>
      <c r="B29" s="102" t="s">
        <v>5</v>
      </c>
      <c r="C29" s="101">
        <v>17686</v>
      </c>
      <c r="D29" s="101">
        <v>24168</v>
      </c>
      <c r="E29" s="101">
        <v>1921993.76</v>
      </c>
      <c r="F29" s="101">
        <v>3131836.2200000011</v>
      </c>
      <c r="G29" s="101">
        <v>1145525.31</v>
      </c>
      <c r="H29" s="101">
        <v>1991505.28</v>
      </c>
      <c r="I29" s="101">
        <v>876322</v>
      </c>
      <c r="J29" s="101">
        <v>1140330.94</v>
      </c>
      <c r="K29" s="101">
        <v>1188637</v>
      </c>
      <c r="L29" s="101">
        <v>0</v>
      </c>
      <c r="M29" s="101">
        <v>0</v>
      </c>
      <c r="N29" s="101">
        <v>0</v>
      </c>
      <c r="O29" s="101">
        <v>0</v>
      </c>
      <c r="P29" s="101">
        <v>-48306.06</v>
      </c>
      <c r="Q29" s="101">
        <v>156591.82</v>
      </c>
      <c r="R29" s="101">
        <v>30130</v>
      </c>
      <c r="S29" s="101">
        <v>41610</v>
      </c>
      <c r="T29" s="101">
        <v>3271618.62</v>
      </c>
      <c r="U29" s="101">
        <v>5308663.8899999997</v>
      </c>
      <c r="V29" s="101">
        <v>1932080.31</v>
      </c>
      <c r="W29" s="101">
        <v>3406962.04</v>
      </c>
      <c r="X29" s="101">
        <v>1500184</v>
      </c>
      <c r="Y29" s="101">
        <v>1901701.85</v>
      </c>
      <c r="Z29" s="101">
        <v>2037940.23</v>
      </c>
      <c r="AA29" s="101">
        <v>0</v>
      </c>
      <c r="AB29" s="101">
        <v>0</v>
      </c>
      <c r="AC29" s="101">
        <v>0</v>
      </c>
      <c r="AD29" s="101">
        <v>0</v>
      </c>
      <c r="AE29" s="101">
        <v>-136238.38000000099</v>
      </c>
      <c r="AF29" s="101">
        <v>265433.2</v>
      </c>
      <c r="AG29" s="101">
        <v>17026</v>
      </c>
      <c r="AH29" s="101">
        <v>24168</v>
      </c>
      <c r="AI29" s="101">
        <v>1868655.91</v>
      </c>
      <c r="AJ29" s="101">
        <v>2867889.61</v>
      </c>
      <c r="AK29" s="101">
        <v>941144.37</v>
      </c>
      <c r="AL29" s="101">
        <v>1921790.5</v>
      </c>
      <c r="AM29" s="101">
        <v>769596.95</v>
      </c>
      <c r="AN29" s="101">
        <v>946099.11</v>
      </c>
      <c r="AO29" s="101">
        <v>1171349.97</v>
      </c>
      <c r="AP29" s="101">
        <v>0</v>
      </c>
      <c r="AQ29" s="101">
        <v>0</v>
      </c>
      <c r="AR29" s="101">
        <v>0</v>
      </c>
      <c r="AS29" s="101">
        <v>0</v>
      </c>
      <c r="AT29" s="101">
        <v>-225250.86</v>
      </c>
      <c r="AU29" s="101">
        <v>114629.97</v>
      </c>
    </row>
    <row r="30" spans="1:47">
      <c r="A30" s="102" t="s">
        <v>890</v>
      </c>
      <c r="B30" s="102" t="e">
        <v>#N/A</v>
      </c>
      <c r="C30" s="101">
        <v>370540.48</v>
      </c>
      <c r="D30" s="101">
        <v>548158</v>
      </c>
      <c r="E30" s="101">
        <v>26447760.859999999</v>
      </c>
      <c r="F30" s="101">
        <v>36665363.530000001</v>
      </c>
      <c r="G30" s="101">
        <v>7915580.2400000012</v>
      </c>
      <c r="H30" s="101">
        <v>21891674.440000001</v>
      </c>
      <c r="I30" s="101">
        <v>9153666.0399999991</v>
      </c>
      <c r="J30" s="101">
        <v>14773689.089999998</v>
      </c>
      <c r="K30" s="101">
        <v>15323409.050000003</v>
      </c>
      <c r="L30" s="101">
        <v>383257</v>
      </c>
      <c r="M30" s="101">
        <v>0</v>
      </c>
      <c r="N30" s="101">
        <v>-1068308.5</v>
      </c>
      <c r="O30" s="101">
        <v>0</v>
      </c>
      <c r="P30" s="101">
        <v>-932976.96000000299</v>
      </c>
      <c r="Q30" s="101">
        <v>1829468.04</v>
      </c>
      <c r="R30" s="101">
        <v>636289.85</v>
      </c>
      <c r="S30" s="101">
        <v>942503</v>
      </c>
      <c r="T30" s="101">
        <v>45673292.93</v>
      </c>
      <c r="U30" s="101">
        <v>62648895.219999999</v>
      </c>
      <c r="V30" s="101">
        <v>13207569.810000001</v>
      </c>
      <c r="W30" s="101">
        <v>37243788.719999999</v>
      </c>
      <c r="X30" s="101">
        <v>15696671.77</v>
      </c>
      <c r="Y30" s="101">
        <v>25405106.499999993</v>
      </c>
      <c r="Z30" s="101">
        <v>26081818.190000001</v>
      </c>
      <c r="AA30" s="101">
        <v>657012</v>
      </c>
      <c r="AB30" s="101">
        <v>0</v>
      </c>
      <c r="AC30" s="101">
        <v>-1831386</v>
      </c>
      <c r="AD30" s="101">
        <v>0</v>
      </c>
      <c r="AE30" s="101">
        <v>-1333723.6900000069</v>
      </c>
      <c r="AF30" s="101">
        <v>3123669.55</v>
      </c>
      <c r="AG30" s="101">
        <v>384497</v>
      </c>
      <c r="AH30" s="101">
        <v>552684</v>
      </c>
      <c r="AI30" s="101">
        <v>27107282.370000001</v>
      </c>
      <c r="AJ30" s="101">
        <v>37387995.75</v>
      </c>
      <c r="AK30" s="101">
        <v>8122175.71</v>
      </c>
      <c r="AL30" s="101">
        <v>23024525.59</v>
      </c>
      <c r="AM30" s="101">
        <v>8793673.6500000004</v>
      </c>
      <c r="AN30" s="101">
        <v>14363470.16</v>
      </c>
      <c r="AO30" s="101">
        <v>12363808.779999999</v>
      </c>
      <c r="AP30" s="101">
        <v>391662.63</v>
      </c>
      <c r="AQ30" s="101">
        <v>0</v>
      </c>
      <c r="AR30" s="101">
        <v>-2327163.1800000002</v>
      </c>
      <c r="AS30" s="101">
        <v>0</v>
      </c>
      <c r="AT30" s="101">
        <v>1607998.7500000009</v>
      </c>
      <c r="AU30" s="101">
        <v>1838589.77</v>
      </c>
    </row>
    <row r="31" spans="1:47">
      <c r="A31" s="102" t="s">
        <v>891</v>
      </c>
      <c r="B31" s="102" t="e">
        <v>#N/A</v>
      </c>
      <c r="C31" s="101">
        <v>89374</v>
      </c>
      <c r="D31" s="101">
        <v>157092</v>
      </c>
      <c r="E31" s="101">
        <v>4993355.13</v>
      </c>
      <c r="F31" s="101">
        <v>6589971.7199999997</v>
      </c>
      <c r="G31" s="101">
        <v>1255869.6299999999</v>
      </c>
      <c r="H31" s="101">
        <v>4503068.55</v>
      </c>
      <c r="I31" s="101">
        <v>1818478.14</v>
      </c>
      <c r="J31" s="101">
        <v>2086903.17</v>
      </c>
      <c r="K31" s="101">
        <v>2286648.4300000002</v>
      </c>
      <c r="L31" s="101">
        <v>28895.09</v>
      </c>
      <c r="M31" s="101">
        <v>0</v>
      </c>
      <c r="N31" s="101">
        <v>-251610.03</v>
      </c>
      <c r="O31" s="101">
        <v>0</v>
      </c>
      <c r="P31" s="101">
        <v>-228640.35</v>
      </c>
      <c r="Q31" s="101">
        <v>442857.67</v>
      </c>
      <c r="R31" s="101">
        <v>151910</v>
      </c>
      <c r="S31" s="101">
        <v>270465</v>
      </c>
      <c r="T31" s="101">
        <v>8427896.1099999994</v>
      </c>
      <c r="U31" s="101">
        <v>11034894.790000003</v>
      </c>
      <c r="V31" s="101">
        <v>2029165.19</v>
      </c>
      <c r="W31" s="101">
        <v>7577432.9600000009</v>
      </c>
      <c r="X31" s="101">
        <v>3109679.38</v>
      </c>
      <c r="Y31" s="101">
        <v>3457461.83</v>
      </c>
      <c r="Z31" s="101">
        <v>3916282.18</v>
      </c>
      <c r="AA31" s="101">
        <v>49533.57</v>
      </c>
      <c r="AB31" s="101">
        <v>0</v>
      </c>
      <c r="AC31" s="101">
        <v>-431331.48</v>
      </c>
      <c r="AD31" s="101">
        <v>0</v>
      </c>
      <c r="AE31" s="101">
        <v>-508353.92</v>
      </c>
      <c r="AF31" s="101">
        <v>675052.88</v>
      </c>
      <c r="AG31" s="101">
        <v>88436</v>
      </c>
      <c r="AH31" s="101">
        <v>157092</v>
      </c>
      <c r="AI31" s="101">
        <v>4914656.43</v>
      </c>
      <c r="AJ31" s="101">
        <v>6456457.419999999</v>
      </c>
      <c r="AK31" s="101">
        <v>1230129.74</v>
      </c>
      <c r="AL31" s="101">
        <v>4652032.7199999988</v>
      </c>
      <c r="AM31" s="101">
        <v>1835000.84</v>
      </c>
      <c r="AN31" s="101">
        <v>1804424.7</v>
      </c>
      <c r="AO31" s="101">
        <v>1836838.17</v>
      </c>
      <c r="AP31" s="101">
        <v>23753.09</v>
      </c>
      <c r="AQ31" s="101">
        <v>0</v>
      </c>
      <c r="AR31" s="101">
        <v>-336020.65</v>
      </c>
      <c r="AS31" s="101">
        <v>0</v>
      </c>
      <c r="AT31" s="101">
        <v>-56166.559999999998</v>
      </c>
      <c r="AU31" s="101">
        <v>335453.65000000002</v>
      </c>
    </row>
    <row r="32" spans="1:47">
      <c r="A32" s="102" t="s">
        <v>892</v>
      </c>
      <c r="B32" s="102" t="e">
        <v>#N/A</v>
      </c>
      <c r="C32" s="101">
        <v>459914.48</v>
      </c>
      <c r="D32" s="101">
        <v>705250</v>
      </c>
      <c r="E32" s="101">
        <v>31441115.989999998</v>
      </c>
      <c r="F32" s="101">
        <v>43255335.25</v>
      </c>
      <c r="G32" s="101">
        <v>9171449.8700000029</v>
      </c>
      <c r="H32" s="101">
        <v>26394742.990000006</v>
      </c>
      <c r="I32" s="101">
        <v>10972144.180000002</v>
      </c>
      <c r="J32" s="101">
        <v>16860592.259999998</v>
      </c>
      <c r="K32" s="101">
        <v>17610057.48</v>
      </c>
      <c r="L32" s="101">
        <v>412152.09</v>
      </c>
      <c r="M32" s="101">
        <v>0</v>
      </c>
      <c r="N32" s="101">
        <v>-1319918.53</v>
      </c>
      <c r="O32" s="101">
        <v>0</v>
      </c>
      <c r="P32" s="101">
        <v>-1161617.310000001</v>
      </c>
      <c r="Q32" s="101">
        <v>2272325.71</v>
      </c>
      <c r="R32" s="101">
        <v>788199.85</v>
      </c>
      <c r="S32" s="101">
        <v>1212968</v>
      </c>
      <c r="T32" s="101">
        <v>54101189.039999999</v>
      </c>
      <c r="U32" s="101">
        <v>73683790.010000005</v>
      </c>
      <c r="V32" s="101">
        <v>15236735</v>
      </c>
      <c r="W32" s="101">
        <v>44821221.68</v>
      </c>
      <c r="X32" s="101">
        <v>18806351.15000001</v>
      </c>
      <c r="Y32" s="101">
        <v>28862568.329999994</v>
      </c>
      <c r="Z32" s="101">
        <v>29998100.370000001</v>
      </c>
      <c r="AA32" s="101">
        <v>706545.57</v>
      </c>
      <c r="AB32" s="101">
        <v>0</v>
      </c>
      <c r="AC32" s="101">
        <v>-2262717.48</v>
      </c>
      <c r="AD32" s="101">
        <v>0</v>
      </c>
      <c r="AE32" s="101">
        <v>-1842077.6099999959</v>
      </c>
      <c r="AF32" s="101">
        <v>3798722.43</v>
      </c>
      <c r="AG32" s="101">
        <v>472933</v>
      </c>
      <c r="AH32" s="101">
        <v>709776</v>
      </c>
      <c r="AI32" s="101">
        <v>32021938.800000001</v>
      </c>
      <c r="AJ32" s="101">
        <v>43844453.169999994</v>
      </c>
      <c r="AK32" s="101">
        <v>9352305.4499999993</v>
      </c>
      <c r="AL32" s="101">
        <v>27676558.309999995</v>
      </c>
      <c r="AM32" s="101">
        <v>10628674.489999998</v>
      </c>
      <c r="AN32" s="101">
        <v>16167894.860000009</v>
      </c>
      <c r="AO32" s="101">
        <v>14200646.949999999</v>
      </c>
      <c r="AP32" s="101">
        <v>415415.72</v>
      </c>
      <c r="AQ32" s="101">
        <v>0</v>
      </c>
      <c r="AR32" s="101">
        <v>-2663183.83</v>
      </c>
      <c r="AS32" s="101">
        <v>0</v>
      </c>
      <c r="AT32" s="101">
        <v>1551832.190000002</v>
      </c>
      <c r="AU32" s="101">
        <v>2174043.42</v>
      </c>
    </row>
    <row r="33" spans="1:47">
      <c r="A33" s="102" t="s">
        <v>893</v>
      </c>
      <c r="B33" s="102" t="e">
        <v>#N/A</v>
      </c>
      <c r="C33" s="101">
        <v>81466</v>
      </c>
      <c r="D33" s="101">
        <v>146680</v>
      </c>
      <c r="E33" s="101">
        <v>4818279.8600000013</v>
      </c>
      <c r="F33" s="101">
        <v>7236374.580000001</v>
      </c>
      <c r="G33" s="101">
        <v>1979829.81</v>
      </c>
      <c r="H33" s="101">
        <v>5136651.42</v>
      </c>
      <c r="I33" s="101">
        <v>2426129.58</v>
      </c>
      <c r="J33" s="101">
        <v>2099723.16</v>
      </c>
      <c r="K33" s="101">
        <v>1911758.38</v>
      </c>
      <c r="L33" s="101">
        <v>17284.75</v>
      </c>
      <c r="M33" s="101">
        <v>0</v>
      </c>
      <c r="N33" s="101">
        <v>-541203.25</v>
      </c>
      <c r="O33" s="101">
        <v>0</v>
      </c>
      <c r="P33" s="101">
        <v>170680.03</v>
      </c>
      <c r="Q33" s="101">
        <v>336690.5</v>
      </c>
      <c r="R33" s="101">
        <v>141908</v>
      </c>
      <c r="S33" s="101">
        <v>251585</v>
      </c>
      <c r="T33" s="101">
        <v>8524086.7300000004</v>
      </c>
      <c r="U33" s="101">
        <v>12823828.130000001</v>
      </c>
      <c r="V33" s="101">
        <v>3572984.8600000008</v>
      </c>
      <c r="W33" s="101">
        <v>8908460.0300000012</v>
      </c>
      <c r="X33" s="101">
        <v>4178460.08</v>
      </c>
      <c r="Y33" s="101">
        <v>3915368.1</v>
      </c>
      <c r="Z33" s="101">
        <v>3303194.68</v>
      </c>
      <c r="AA33" s="101">
        <v>29631</v>
      </c>
      <c r="AB33" s="101">
        <v>0</v>
      </c>
      <c r="AC33" s="101">
        <v>-927780</v>
      </c>
      <c r="AD33" s="101">
        <v>0</v>
      </c>
      <c r="AE33" s="101">
        <v>582542.42000000004</v>
      </c>
      <c r="AF33" s="101">
        <v>599507.09</v>
      </c>
      <c r="AG33" s="101">
        <v>85372</v>
      </c>
      <c r="AH33" s="101">
        <v>147340</v>
      </c>
      <c r="AI33" s="101">
        <v>4937914.18</v>
      </c>
      <c r="AJ33" s="101">
        <v>7459165.1100000013</v>
      </c>
      <c r="AK33" s="101">
        <v>2098515.42</v>
      </c>
      <c r="AL33" s="101">
        <v>5407734.2200000007</v>
      </c>
      <c r="AM33" s="101">
        <v>2358467.91</v>
      </c>
      <c r="AN33" s="101">
        <v>2051430.89</v>
      </c>
      <c r="AO33" s="101">
        <v>1350970.57</v>
      </c>
      <c r="AP33" s="101">
        <v>11457.16</v>
      </c>
      <c r="AQ33" s="101">
        <v>0</v>
      </c>
      <c r="AR33" s="101">
        <v>-595416.85</v>
      </c>
      <c r="AS33" s="101">
        <v>0</v>
      </c>
      <c r="AT33" s="101">
        <v>689003.16</v>
      </c>
      <c r="AU33" s="101">
        <v>370807.62</v>
      </c>
    </row>
    <row r="34" spans="1:47">
      <c r="A34" s="102" t="s">
        <v>894</v>
      </c>
      <c r="B34" s="102" t="e">
        <v>#N/A</v>
      </c>
      <c r="C34" s="101">
        <v>541380.48</v>
      </c>
      <c r="D34" s="101">
        <v>851930</v>
      </c>
      <c r="E34" s="101">
        <v>36259395.850000001</v>
      </c>
      <c r="F34" s="101">
        <v>50491709.830000006</v>
      </c>
      <c r="G34" s="101">
        <v>11151279.68</v>
      </c>
      <c r="H34" s="101">
        <v>31531394.410000004</v>
      </c>
      <c r="I34" s="101">
        <v>13398273.76</v>
      </c>
      <c r="J34" s="101">
        <v>18960315.420000009</v>
      </c>
      <c r="K34" s="101">
        <v>19521815.859999999</v>
      </c>
      <c r="L34" s="101">
        <v>429436.84</v>
      </c>
      <c r="M34" s="101">
        <v>0</v>
      </c>
      <c r="N34" s="101">
        <v>-1861121.78</v>
      </c>
      <c r="O34" s="101">
        <v>0</v>
      </c>
      <c r="P34" s="101">
        <v>-990937.27999999304</v>
      </c>
      <c r="Q34" s="101">
        <v>2609016.21</v>
      </c>
      <c r="R34" s="101">
        <v>930107.85</v>
      </c>
      <c r="S34" s="101">
        <v>1464553</v>
      </c>
      <c r="T34" s="101">
        <v>62625275.770000003</v>
      </c>
      <c r="U34" s="101">
        <v>86507618.139999986</v>
      </c>
      <c r="V34" s="101">
        <v>18809719.859999999</v>
      </c>
      <c r="W34" s="101">
        <v>53729681.710000001</v>
      </c>
      <c r="X34" s="101">
        <v>22984811.230000008</v>
      </c>
      <c r="Y34" s="101">
        <v>32777936.429999996</v>
      </c>
      <c r="Z34" s="101">
        <v>33301295.050000001</v>
      </c>
      <c r="AA34" s="101">
        <v>736176.57</v>
      </c>
      <c r="AB34" s="101">
        <v>0</v>
      </c>
      <c r="AC34" s="101">
        <v>-3190497.48</v>
      </c>
      <c r="AD34" s="101">
        <v>0</v>
      </c>
      <c r="AE34" s="101">
        <v>-1259535.1899999939</v>
      </c>
      <c r="AF34" s="101">
        <v>4398229.5199999996</v>
      </c>
      <c r="AG34" s="101">
        <v>558305</v>
      </c>
      <c r="AH34" s="101">
        <v>857116</v>
      </c>
      <c r="AI34" s="101">
        <v>36959852.979999997</v>
      </c>
      <c r="AJ34" s="101">
        <v>51303618.280000001</v>
      </c>
      <c r="AK34" s="101">
        <v>11450820.870000003</v>
      </c>
      <c r="AL34" s="101">
        <v>33084292.530000005</v>
      </c>
      <c r="AM34" s="101">
        <v>12987142.4</v>
      </c>
      <c r="AN34" s="101">
        <v>18219325.750000007</v>
      </c>
      <c r="AO34" s="101">
        <v>15551617.52</v>
      </c>
      <c r="AP34" s="101">
        <v>426872.88</v>
      </c>
      <c r="AQ34" s="101">
        <v>0</v>
      </c>
      <c r="AR34" s="101">
        <v>-3258600.68</v>
      </c>
      <c r="AS34" s="101">
        <v>0</v>
      </c>
      <c r="AT34" s="101">
        <v>2240835.3500000061</v>
      </c>
      <c r="AU34" s="101">
        <v>2544851.04</v>
      </c>
    </row>
    <row r="35" spans="1:47">
      <c r="A35" s="102" t="s">
        <v>895</v>
      </c>
      <c r="B35" s="102" t="e">
        <v>#N/A</v>
      </c>
      <c r="C35" s="101">
        <v>116711</v>
      </c>
      <c r="D35" s="101">
        <v>183948</v>
      </c>
      <c r="E35" s="101">
        <v>7373140.2800000012</v>
      </c>
      <c r="F35" s="101">
        <v>12202211.880000003</v>
      </c>
      <c r="G35" s="101">
        <v>4015800.21</v>
      </c>
      <c r="H35" s="101">
        <v>8470653.3900000006</v>
      </c>
      <c r="I35" s="101">
        <v>3443698.22</v>
      </c>
      <c r="J35" s="101">
        <v>3731558.4900000012</v>
      </c>
      <c r="K35" s="101">
        <v>3858043.59</v>
      </c>
      <c r="L35" s="101">
        <v>10773</v>
      </c>
      <c r="M35" s="101">
        <v>0</v>
      </c>
      <c r="N35" s="101">
        <v>-127316.91</v>
      </c>
      <c r="O35" s="101">
        <v>0</v>
      </c>
      <c r="P35" s="101">
        <v>-137258.1</v>
      </c>
      <c r="Q35" s="101">
        <v>604704.99</v>
      </c>
      <c r="R35" s="101">
        <v>208755</v>
      </c>
      <c r="S35" s="101">
        <v>317720</v>
      </c>
      <c r="T35" s="101">
        <v>13289531.619999999</v>
      </c>
      <c r="U35" s="101">
        <v>21759921.32</v>
      </c>
      <c r="V35" s="101">
        <v>7053432.21</v>
      </c>
      <c r="W35" s="101">
        <v>14735191.810000002</v>
      </c>
      <c r="X35" s="101">
        <v>5928459.9900000012</v>
      </c>
      <c r="Y35" s="101">
        <v>7024729.5100000007</v>
      </c>
      <c r="Z35" s="101">
        <v>6617100.8600000013</v>
      </c>
      <c r="AA35" s="101">
        <v>18468</v>
      </c>
      <c r="AB35" s="101">
        <v>0</v>
      </c>
      <c r="AC35" s="101">
        <v>-218257.56</v>
      </c>
      <c r="AD35" s="101">
        <v>0</v>
      </c>
      <c r="AE35" s="101">
        <v>389160.65000000101</v>
      </c>
      <c r="AF35" s="101">
        <v>1079536.3799999999</v>
      </c>
      <c r="AG35" s="101">
        <v>114440</v>
      </c>
      <c r="AH35" s="101">
        <v>186348</v>
      </c>
      <c r="AI35" s="101">
        <v>7153018.870000001</v>
      </c>
      <c r="AJ35" s="101">
        <v>11844498.860000001</v>
      </c>
      <c r="AK35" s="101">
        <v>3864967</v>
      </c>
      <c r="AL35" s="101">
        <v>8745661.4200000018</v>
      </c>
      <c r="AM35" s="101">
        <v>3357167.32</v>
      </c>
      <c r="AN35" s="101">
        <v>3098837.4400000009</v>
      </c>
      <c r="AO35" s="101">
        <v>3480809.77</v>
      </c>
      <c r="AP35" s="101">
        <v>10612</v>
      </c>
      <c r="AQ35" s="101">
        <v>0</v>
      </c>
      <c r="AR35" s="101">
        <v>-212468.38</v>
      </c>
      <c r="AS35" s="101">
        <v>0</v>
      </c>
      <c r="AT35" s="101">
        <v>-392584.32999999903</v>
      </c>
      <c r="AU35" s="101">
        <v>585804.44999999995</v>
      </c>
    </row>
    <row r="36" spans="1:47">
      <c r="A36" s="102" t="s">
        <v>896</v>
      </c>
      <c r="B36" s="102" t="e">
        <v>#N/A</v>
      </c>
      <c r="C36" s="101">
        <v>296793.86</v>
      </c>
      <c r="D36" s="101">
        <v>470004</v>
      </c>
      <c r="E36" s="101">
        <v>19206104.070300005</v>
      </c>
      <c r="F36" s="101">
        <v>27187948.1503</v>
      </c>
      <c r="G36" s="101">
        <v>6057670.3799999999</v>
      </c>
      <c r="H36" s="101">
        <v>17034951.789999999</v>
      </c>
      <c r="I36" s="101">
        <v>7132355.8799999999</v>
      </c>
      <c r="J36" s="101">
        <v>10152996.360300001</v>
      </c>
      <c r="K36" s="101">
        <v>5368713.2800000012</v>
      </c>
      <c r="L36" s="101">
        <v>251955.13</v>
      </c>
      <c r="M36" s="101">
        <v>0</v>
      </c>
      <c r="N36" s="101">
        <v>-1173859.1200000001</v>
      </c>
      <c r="O36" s="101">
        <v>0</v>
      </c>
      <c r="P36" s="101">
        <v>4532327.9502999997</v>
      </c>
      <c r="Q36" s="101">
        <v>1318751.4099999999</v>
      </c>
      <c r="R36" s="101">
        <v>508761.89</v>
      </c>
      <c r="S36" s="101">
        <v>809205</v>
      </c>
      <c r="T36" s="101">
        <v>32630411.905299999</v>
      </c>
      <c r="U36" s="101">
        <v>46026589.5053</v>
      </c>
      <c r="V36" s="101">
        <v>10295994.15</v>
      </c>
      <c r="W36" s="101">
        <v>28986510.699999999</v>
      </c>
      <c r="X36" s="101">
        <v>12254244.99</v>
      </c>
      <c r="Y36" s="101">
        <v>17040078.805299997</v>
      </c>
      <c r="Z36" s="101">
        <v>9222146.9100000001</v>
      </c>
      <c r="AA36" s="101">
        <v>431923.38</v>
      </c>
      <c r="AB36" s="101">
        <v>0</v>
      </c>
      <c r="AC36" s="101">
        <v>-2012329.92</v>
      </c>
      <c r="AD36" s="101">
        <v>0</v>
      </c>
      <c r="AE36" s="101">
        <v>7386008.5152999992</v>
      </c>
      <c r="AF36" s="101">
        <v>2231821.7599999998</v>
      </c>
      <c r="AG36" s="101">
        <v>289597</v>
      </c>
      <c r="AH36" s="101">
        <v>470216</v>
      </c>
      <c r="AI36" s="101">
        <v>18851287.84</v>
      </c>
      <c r="AJ36" s="101">
        <v>26868211.409999996</v>
      </c>
      <c r="AK36" s="101">
        <v>6069368.71</v>
      </c>
      <c r="AL36" s="101">
        <v>17656172.799999997</v>
      </c>
      <c r="AM36" s="101">
        <v>7085902</v>
      </c>
      <c r="AN36" s="101">
        <v>9212038.6099999975</v>
      </c>
      <c r="AO36" s="101">
        <v>5298742.97</v>
      </c>
      <c r="AP36" s="101">
        <v>234742.42</v>
      </c>
      <c r="AQ36" s="101">
        <v>0</v>
      </c>
      <c r="AR36" s="101">
        <v>-871446.58</v>
      </c>
      <c r="AS36" s="101">
        <v>0</v>
      </c>
      <c r="AT36" s="101">
        <v>3678553.219999996</v>
      </c>
      <c r="AU36" s="101">
        <v>1358573.5</v>
      </c>
    </row>
    <row r="37" spans="1:47">
      <c r="A37" s="102" t="s">
        <v>897</v>
      </c>
      <c r="B37" s="102" t="e">
        <v>#N/A</v>
      </c>
      <c r="C37" s="101">
        <v>519313.07</v>
      </c>
      <c r="D37" s="101">
        <v>767652</v>
      </c>
      <c r="E37" s="101">
        <v>38202526.18</v>
      </c>
      <c r="F37" s="101">
        <v>50216337.82</v>
      </c>
      <c r="G37" s="101">
        <v>9565516.1400000025</v>
      </c>
      <c r="H37" s="101">
        <v>28436702.550000001</v>
      </c>
      <c r="I37" s="101">
        <v>10971409.210000001</v>
      </c>
      <c r="J37" s="101">
        <v>21779635.27</v>
      </c>
      <c r="K37" s="101">
        <v>13556645.449999999</v>
      </c>
      <c r="L37" s="101">
        <v>34656.69</v>
      </c>
      <c r="M37" s="101">
        <v>0</v>
      </c>
      <c r="N37" s="101">
        <v>-894880.23</v>
      </c>
      <c r="O37" s="101">
        <v>0</v>
      </c>
      <c r="P37" s="101">
        <v>8188333.129999999</v>
      </c>
      <c r="Q37" s="101">
        <v>2541378.09</v>
      </c>
      <c r="R37" s="101">
        <v>892437.85</v>
      </c>
      <c r="S37" s="101">
        <v>1321665</v>
      </c>
      <c r="T37" s="101">
        <v>65503077.460000001</v>
      </c>
      <c r="U37" s="101">
        <v>85666698.859999999</v>
      </c>
      <c r="V37" s="101">
        <v>16075438.58</v>
      </c>
      <c r="W37" s="101">
        <v>48685832.180000015</v>
      </c>
      <c r="X37" s="101">
        <v>18890563.170000002</v>
      </c>
      <c r="Y37" s="101">
        <v>36980866.68</v>
      </c>
      <c r="Z37" s="101">
        <v>23261817.510000005</v>
      </c>
      <c r="AA37" s="101">
        <v>59411.46</v>
      </c>
      <c r="AB37" s="101">
        <v>0</v>
      </c>
      <c r="AC37" s="101">
        <v>-1534080.08</v>
      </c>
      <c r="AD37" s="101">
        <v>0</v>
      </c>
      <c r="AE37" s="101">
        <v>13659637.710000006</v>
      </c>
      <c r="AF37" s="101">
        <v>4340535.6500000013</v>
      </c>
      <c r="AG37" s="101">
        <v>509075</v>
      </c>
      <c r="AH37" s="101">
        <v>768288</v>
      </c>
      <c r="AI37" s="101">
        <v>35893425.909999996</v>
      </c>
      <c r="AJ37" s="101">
        <v>47755434.649999999</v>
      </c>
      <c r="AK37" s="101">
        <v>9510724.3200000003</v>
      </c>
      <c r="AL37" s="101">
        <v>29132630.34999999</v>
      </c>
      <c r="AM37" s="101">
        <v>10853690.08</v>
      </c>
      <c r="AN37" s="101">
        <v>18622804.300000001</v>
      </c>
      <c r="AO37" s="101">
        <v>12527862.220000003</v>
      </c>
      <c r="AP37" s="101">
        <v>34426.050000000003</v>
      </c>
      <c r="AQ37" s="101">
        <v>0</v>
      </c>
      <c r="AR37" s="101">
        <v>-1201431.44</v>
      </c>
      <c r="AS37" s="101">
        <v>0</v>
      </c>
      <c r="AT37" s="101">
        <v>6060516.030000004</v>
      </c>
      <c r="AU37" s="101">
        <v>2430435.7999999998</v>
      </c>
    </row>
    <row r="38" spans="1:47">
      <c r="A38" s="102" t="s">
        <v>898</v>
      </c>
      <c r="B38" s="102" t="e">
        <v>#N/A</v>
      </c>
      <c r="C38" s="101">
        <v>0</v>
      </c>
      <c r="D38" s="101">
        <v>0</v>
      </c>
      <c r="E38" s="101">
        <v>0</v>
      </c>
      <c r="F38" s="101">
        <v>0</v>
      </c>
      <c r="G38" s="101">
        <v>0</v>
      </c>
      <c r="H38" s="101">
        <v>0</v>
      </c>
      <c r="I38" s="101">
        <v>0</v>
      </c>
      <c r="J38" s="101">
        <v>0</v>
      </c>
      <c r="K38" s="101">
        <v>0</v>
      </c>
      <c r="L38" s="101">
        <v>0</v>
      </c>
      <c r="M38" s="101">
        <v>0</v>
      </c>
      <c r="N38" s="101">
        <v>0</v>
      </c>
      <c r="O38" s="101">
        <v>0</v>
      </c>
      <c r="P38" s="101">
        <v>0</v>
      </c>
      <c r="Q38" s="101">
        <v>0</v>
      </c>
      <c r="R38" s="101">
        <v>0</v>
      </c>
      <c r="S38" s="101">
        <v>0</v>
      </c>
      <c r="T38" s="101">
        <v>0</v>
      </c>
      <c r="U38" s="101">
        <v>0</v>
      </c>
      <c r="V38" s="101">
        <v>0</v>
      </c>
      <c r="W38" s="101">
        <v>0</v>
      </c>
      <c r="X38" s="101">
        <v>0</v>
      </c>
      <c r="Y38" s="101">
        <v>0</v>
      </c>
      <c r="Z38" s="101">
        <v>0</v>
      </c>
      <c r="AA38" s="101">
        <v>0</v>
      </c>
      <c r="AB38" s="101">
        <v>0</v>
      </c>
      <c r="AC38" s="101">
        <v>0</v>
      </c>
      <c r="AD38" s="101">
        <v>0</v>
      </c>
      <c r="AE38" s="101">
        <v>0</v>
      </c>
      <c r="AF38" s="101">
        <v>0</v>
      </c>
      <c r="AG38" s="101">
        <v>0</v>
      </c>
      <c r="AH38" s="101">
        <v>0</v>
      </c>
      <c r="AI38" s="101">
        <v>0</v>
      </c>
      <c r="AJ38" s="101">
        <v>0</v>
      </c>
      <c r="AK38" s="101">
        <v>0</v>
      </c>
      <c r="AL38" s="101">
        <v>0</v>
      </c>
      <c r="AM38" s="101">
        <v>0</v>
      </c>
      <c r="AN38" s="101">
        <v>0</v>
      </c>
      <c r="AO38" s="101">
        <v>0</v>
      </c>
      <c r="AP38" s="101">
        <v>0</v>
      </c>
      <c r="AQ38" s="101">
        <v>0</v>
      </c>
      <c r="AR38" s="101">
        <v>0</v>
      </c>
      <c r="AS38" s="101">
        <v>0</v>
      </c>
      <c r="AT38" s="101">
        <v>0</v>
      </c>
      <c r="AU38" s="101">
        <v>0</v>
      </c>
    </row>
    <row r="39" spans="1:47">
      <c r="A39" s="102" t="s">
        <v>899</v>
      </c>
      <c r="B39" s="102" t="e">
        <v>#N/A</v>
      </c>
      <c r="C39" s="101">
        <v>1474198.41</v>
      </c>
      <c r="D39" s="101">
        <v>2273534</v>
      </c>
      <c r="E39" s="101">
        <v>101041166.3803</v>
      </c>
      <c r="F39" s="101">
        <v>140098207.6803</v>
      </c>
      <c r="G39" s="101">
        <v>30790266.41</v>
      </c>
      <c r="H39" s="101">
        <v>85473702.140000015</v>
      </c>
      <c r="I39" s="101">
        <v>34945737.07</v>
      </c>
      <c r="J39" s="101">
        <v>54624505.540300019</v>
      </c>
      <c r="K39" s="101">
        <v>42305218.18</v>
      </c>
      <c r="L39" s="101">
        <v>726821.66</v>
      </c>
      <c r="M39" s="101">
        <v>0</v>
      </c>
      <c r="N39" s="101">
        <v>-4057178.04</v>
      </c>
      <c r="O39" s="101">
        <v>0</v>
      </c>
      <c r="P39" s="101">
        <v>11592465.700300001</v>
      </c>
      <c r="Q39" s="101">
        <v>7073850.7000000011</v>
      </c>
      <c r="R39" s="101">
        <v>2540062.59</v>
      </c>
      <c r="S39" s="101">
        <v>3913143</v>
      </c>
      <c r="T39" s="101">
        <v>174048296.75529999</v>
      </c>
      <c r="U39" s="101">
        <v>239960827.82530001</v>
      </c>
      <c r="V39" s="101">
        <v>52234584.800000004</v>
      </c>
      <c r="W39" s="101">
        <v>146137216.40000001</v>
      </c>
      <c r="X39" s="101">
        <v>60058079.379999995</v>
      </c>
      <c r="Y39" s="101">
        <v>93823611.425299957</v>
      </c>
      <c r="Z39" s="101">
        <v>72402360.329999998</v>
      </c>
      <c r="AA39" s="101">
        <v>1245979.4099999999</v>
      </c>
      <c r="AB39" s="101">
        <v>0</v>
      </c>
      <c r="AC39" s="101">
        <v>-6955165.040000001</v>
      </c>
      <c r="AD39" s="101">
        <v>0</v>
      </c>
      <c r="AE39" s="101">
        <v>20175271.685299989</v>
      </c>
      <c r="AF39" s="101">
        <v>12050123.310000002</v>
      </c>
      <c r="AG39" s="101">
        <v>1471417</v>
      </c>
      <c r="AH39" s="101">
        <v>2281968</v>
      </c>
      <c r="AI39" s="101">
        <v>98857585.599999994</v>
      </c>
      <c r="AJ39" s="101">
        <v>137771763.19999999</v>
      </c>
      <c r="AK39" s="101">
        <v>30895880.900000002</v>
      </c>
      <c r="AL39" s="101">
        <v>88618757.099999994</v>
      </c>
      <c r="AM39" s="101">
        <v>34283901.800000004</v>
      </c>
      <c r="AN39" s="101">
        <v>49153006.100000016</v>
      </c>
      <c r="AO39" s="101">
        <v>36859032.480000012</v>
      </c>
      <c r="AP39" s="101">
        <v>706653.35</v>
      </c>
      <c r="AQ39" s="101">
        <v>0</v>
      </c>
      <c r="AR39" s="101">
        <v>-5543947.080000001</v>
      </c>
      <c r="AS39" s="101">
        <v>0</v>
      </c>
      <c r="AT39" s="101">
        <v>11587320.270000009</v>
      </c>
      <c r="AU39" s="101">
        <v>6919664.790000001</v>
      </c>
    </row>
    <row r="40" spans="1:47">
      <c r="A40" s="102" t="s">
        <v>977</v>
      </c>
      <c r="B40" s="102" t="e">
        <v>#N/A</v>
      </c>
      <c r="C40" s="101">
        <v>0</v>
      </c>
      <c r="D40" s="101">
        <v>0</v>
      </c>
      <c r="E40" s="101">
        <v>0</v>
      </c>
      <c r="F40" s="101">
        <v>1087820</v>
      </c>
      <c r="G40" s="101">
        <v>1087820</v>
      </c>
      <c r="H40" s="101">
        <v>899944</v>
      </c>
      <c r="I40" s="101">
        <v>188496</v>
      </c>
      <c r="J40" s="101">
        <v>187876</v>
      </c>
      <c r="K40" s="101">
        <v>76147</v>
      </c>
      <c r="L40" s="101">
        <v>0</v>
      </c>
      <c r="M40" s="101">
        <v>0</v>
      </c>
      <c r="N40" s="101">
        <v>0</v>
      </c>
      <c r="O40" s="101">
        <v>0</v>
      </c>
      <c r="P40" s="101">
        <v>111729</v>
      </c>
      <c r="Q40" s="101">
        <v>54390</v>
      </c>
      <c r="R40" s="101">
        <v>0</v>
      </c>
      <c r="S40" s="101">
        <v>0</v>
      </c>
      <c r="T40" s="101">
        <v>0</v>
      </c>
      <c r="U40" s="101">
        <v>1970003</v>
      </c>
      <c r="V40" s="101">
        <v>1970003</v>
      </c>
      <c r="W40" s="101">
        <v>1623097</v>
      </c>
      <c r="X40" s="101">
        <v>330741</v>
      </c>
      <c r="Y40" s="101">
        <v>346906</v>
      </c>
      <c r="Z40" s="101">
        <v>137899</v>
      </c>
      <c r="AA40" s="101">
        <v>0</v>
      </c>
      <c r="AB40" s="101">
        <v>0</v>
      </c>
      <c r="AC40" s="101">
        <v>0</v>
      </c>
      <c r="AD40" s="101">
        <v>0</v>
      </c>
      <c r="AE40" s="101">
        <v>209007</v>
      </c>
      <c r="AF40" s="101">
        <v>98522</v>
      </c>
      <c r="AG40" s="101">
        <v>0</v>
      </c>
      <c r="AH40" s="101">
        <v>0</v>
      </c>
      <c r="AI40" s="101">
        <v>0</v>
      </c>
      <c r="AJ40" s="101">
        <v>1122247.6399999999</v>
      </c>
      <c r="AK40" s="101">
        <v>1100709.8899999999</v>
      </c>
      <c r="AL40" s="101">
        <v>1061210.31</v>
      </c>
      <c r="AM40" s="101">
        <v>195206.82</v>
      </c>
      <c r="AN40" s="101">
        <v>61037.33</v>
      </c>
      <c r="AO40" s="101">
        <v>78557.63</v>
      </c>
      <c r="AP40" s="101">
        <v>0</v>
      </c>
      <c r="AQ40" s="101">
        <v>0</v>
      </c>
      <c r="AR40" s="101">
        <v>0</v>
      </c>
      <c r="AS40" s="101">
        <v>0</v>
      </c>
      <c r="AT40" s="101">
        <v>-17520.3</v>
      </c>
      <c r="AU40" s="101">
        <v>56112.38</v>
      </c>
    </row>
    <row r="41" spans="1:47">
      <c r="A41" s="102" t="s">
        <v>978</v>
      </c>
      <c r="B41" s="102" t="e">
        <v>#N/A</v>
      </c>
      <c r="C41" s="101">
        <v>0</v>
      </c>
      <c r="D41" s="101">
        <v>0</v>
      </c>
      <c r="E41" s="101">
        <v>0</v>
      </c>
      <c r="F41" s="101">
        <v>187860</v>
      </c>
      <c r="G41" s="101">
        <v>187860</v>
      </c>
      <c r="H41" s="101">
        <v>191322.86</v>
      </c>
      <c r="I41" s="101">
        <v>89663</v>
      </c>
      <c r="J41" s="101">
        <v>-3462.86</v>
      </c>
      <c r="K41" s="101">
        <v>-1605.95</v>
      </c>
      <c r="L41" s="101">
        <v>0</v>
      </c>
      <c r="M41" s="101">
        <v>0</v>
      </c>
      <c r="N41" s="101">
        <v>0</v>
      </c>
      <c r="O41" s="101">
        <v>0</v>
      </c>
      <c r="P41" s="101">
        <v>-1856.91</v>
      </c>
      <c r="Q41" s="101">
        <v>0</v>
      </c>
      <c r="R41" s="101">
        <v>0</v>
      </c>
      <c r="S41" s="101">
        <v>0</v>
      </c>
      <c r="T41" s="101">
        <v>0</v>
      </c>
      <c r="U41" s="101">
        <v>376260</v>
      </c>
      <c r="V41" s="101">
        <v>376260</v>
      </c>
      <c r="W41" s="101">
        <v>368320.92</v>
      </c>
      <c r="X41" s="101">
        <v>153708</v>
      </c>
      <c r="Y41" s="101">
        <v>7939.08</v>
      </c>
      <c r="Z41" s="101">
        <v>1210.79</v>
      </c>
      <c r="AA41" s="101">
        <v>0</v>
      </c>
      <c r="AB41" s="101">
        <v>0</v>
      </c>
      <c r="AC41" s="101">
        <v>0</v>
      </c>
      <c r="AD41" s="101">
        <v>0</v>
      </c>
      <c r="AE41" s="101">
        <v>6728.29</v>
      </c>
      <c r="AF41" s="101">
        <v>0</v>
      </c>
      <c r="AG41" s="101">
        <v>0</v>
      </c>
      <c r="AH41" s="101">
        <v>0</v>
      </c>
      <c r="AI41" s="101">
        <v>0</v>
      </c>
      <c r="AJ41" s="101">
        <v>150494.57999999999</v>
      </c>
      <c r="AK41" s="101">
        <v>150207.76</v>
      </c>
      <c r="AL41" s="101">
        <v>221935.76</v>
      </c>
      <c r="AM41" s="101">
        <v>83943.25</v>
      </c>
      <c r="AN41" s="101">
        <v>-71441.179999999993</v>
      </c>
      <c r="AO41" s="101">
        <v>0</v>
      </c>
      <c r="AP41" s="101">
        <v>0</v>
      </c>
      <c r="AQ41" s="101">
        <v>0</v>
      </c>
      <c r="AR41" s="101">
        <v>0</v>
      </c>
      <c r="AS41" s="101">
        <v>0</v>
      </c>
      <c r="AT41" s="101">
        <v>-71441.179999999993</v>
      </c>
      <c r="AU41" s="101">
        <v>0</v>
      </c>
    </row>
    <row r="42" spans="1:47">
      <c r="A42" s="102" t="s">
        <v>979</v>
      </c>
      <c r="B42" s="102" t="e">
        <v>#N/A</v>
      </c>
      <c r="C42" s="101">
        <v>0</v>
      </c>
      <c r="D42" s="101">
        <v>0</v>
      </c>
      <c r="E42" s="101">
        <v>0</v>
      </c>
      <c r="F42" s="101">
        <v>4807200</v>
      </c>
      <c r="G42" s="101">
        <v>4329800</v>
      </c>
      <c r="H42" s="101">
        <v>4330154.6400000006</v>
      </c>
      <c r="I42" s="101">
        <v>1605882</v>
      </c>
      <c r="J42" s="101">
        <v>477045.36</v>
      </c>
      <c r="K42" s="101">
        <v>514430</v>
      </c>
      <c r="L42" s="101">
        <v>0</v>
      </c>
      <c r="M42" s="101">
        <v>0</v>
      </c>
      <c r="N42" s="101">
        <v>0</v>
      </c>
      <c r="O42" s="101">
        <v>0</v>
      </c>
      <c r="P42" s="101">
        <v>-37384.639999999999</v>
      </c>
      <c r="Q42" s="101">
        <v>240360</v>
      </c>
      <c r="R42" s="101">
        <v>0</v>
      </c>
      <c r="S42" s="101">
        <v>0</v>
      </c>
      <c r="T42" s="101">
        <v>0</v>
      </c>
      <c r="U42" s="101">
        <v>8393900</v>
      </c>
      <c r="V42" s="101">
        <v>7620500</v>
      </c>
      <c r="W42" s="101">
        <v>7421920.8900000006</v>
      </c>
      <c r="X42" s="101">
        <v>2752046</v>
      </c>
      <c r="Y42" s="101">
        <v>971979.11</v>
      </c>
      <c r="Z42" s="101">
        <v>881880</v>
      </c>
      <c r="AA42" s="101">
        <v>0</v>
      </c>
      <c r="AB42" s="101">
        <v>0</v>
      </c>
      <c r="AC42" s="101">
        <v>0</v>
      </c>
      <c r="AD42" s="101">
        <v>0</v>
      </c>
      <c r="AE42" s="101">
        <v>90099.11</v>
      </c>
      <c r="AF42" s="101">
        <v>419695</v>
      </c>
      <c r="AG42" s="101">
        <v>0</v>
      </c>
      <c r="AH42" s="101">
        <v>0</v>
      </c>
      <c r="AI42" s="101">
        <v>0</v>
      </c>
      <c r="AJ42" s="101">
        <v>5073761</v>
      </c>
      <c r="AK42" s="101">
        <v>4505788.7800000012</v>
      </c>
      <c r="AL42" s="101">
        <v>4486002.209999999</v>
      </c>
      <c r="AM42" s="101">
        <v>1653606</v>
      </c>
      <c r="AN42" s="101">
        <v>587758.79</v>
      </c>
      <c r="AO42" s="101">
        <v>499521.23</v>
      </c>
      <c r="AP42" s="101">
        <v>0</v>
      </c>
      <c r="AQ42" s="101">
        <v>0</v>
      </c>
      <c r="AR42" s="101">
        <v>0</v>
      </c>
      <c r="AS42" s="101">
        <v>0</v>
      </c>
      <c r="AT42" s="101">
        <v>88237.56</v>
      </c>
      <c r="AU42" s="101">
        <v>286435.99</v>
      </c>
    </row>
    <row r="43" spans="1:47">
      <c r="A43" s="102" t="s">
        <v>901</v>
      </c>
      <c r="B43" s="102" t="e">
        <v>#N/A</v>
      </c>
      <c r="C43" s="101">
        <v>0</v>
      </c>
      <c r="D43" s="101">
        <v>0</v>
      </c>
      <c r="E43" s="101">
        <v>0</v>
      </c>
      <c r="F43" s="101">
        <v>6082880</v>
      </c>
      <c r="G43" s="101">
        <v>5605480</v>
      </c>
      <c r="H43" s="101">
        <v>5421421.5000000009</v>
      </c>
      <c r="I43" s="101">
        <v>1884041</v>
      </c>
      <c r="J43" s="101">
        <v>661458.5</v>
      </c>
      <c r="K43" s="101">
        <v>588971.05000000005</v>
      </c>
      <c r="L43" s="101">
        <v>0</v>
      </c>
      <c r="M43" s="101">
        <v>0</v>
      </c>
      <c r="N43" s="101">
        <v>0</v>
      </c>
      <c r="O43" s="101">
        <v>0</v>
      </c>
      <c r="P43" s="101">
        <v>72487.45</v>
      </c>
      <c r="Q43" s="101">
        <v>294750</v>
      </c>
      <c r="R43" s="101">
        <v>0</v>
      </c>
      <c r="S43" s="101">
        <v>0</v>
      </c>
      <c r="T43" s="101">
        <v>0</v>
      </c>
      <c r="U43" s="101">
        <v>10740163</v>
      </c>
      <c r="V43" s="101">
        <v>9966763</v>
      </c>
      <c r="W43" s="101">
        <v>9413338.8100000024</v>
      </c>
      <c r="X43" s="101">
        <v>3236495</v>
      </c>
      <c r="Y43" s="101">
        <v>1326824.19</v>
      </c>
      <c r="Z43" s="101">
        <v>1020989.79</v>
      </c>
      <c r="AA43" s="101">
        <v>0</v>
      </c>
      <c r="AB43" s="101">
        <v>0</v>
      </c>
      <c r="AC43" s="101">
        <v>0</v>
      </c>
      <c r="AD43" s="101">
        <v>0</v>
      </c>
      <c r="AE43" s="101">
        <v>305834.40000000002</v>
      </c>
      <c r="AF43" s="101">
        <v>518217</v>
      </c>
      <c r="AG43" s="101">
        <v>0</v>
      </c>
      <c r="AH43" s="101">
        <v>0</v>
      </c>
      <c r="AI43" s="101">
        <v>0</v>
      </c>
      <c r="AJ43" s="101">
        <v>6346503.2200000007</v>
      </c>
      <c r="AK43" s="101">
        <v>5756706.4299999997</v>
      </c>
      <c r="AL43" s="101">
        <v>5769148.2800000003</v>
      </c>
      <c r="AM43" s="101">
        <v>1932756.07</v>
      </c>
      <c r="AN43" s="101">
        <v>577354.93999999994</v>
      </c>
      <c r="AO43" s="101">
        <v>578078.86</v>
      </c>
      <c r="AP43" s="101">
        <v>0</v>
      </c>
      <c r="AQ43" s="101">
        <v>0</v>
      </c>
      <c r="AR43" s="101">
        <v>0</v>
      </c>
      <c r="AS43" s="101">
        <v>0</v>
      </c>
      <c r="AT43" s="101">
        <v>-723.92</v>
      </c>
      <c r="AU43" s="101">
        <v>342548.37</v>
      </c>
    </row>
    <row r="44" spans="1:47">
      <c r="A44" s="102" t="s">
        <v>902</v>
      </c>
      <c r="B44" s="102" t="e">
        <v>#N/A</v>
      </c>
      <c r="C44" s="101">
        <v>0</v>
      </c>
      <c r="D44" s="101">
        <v>0</v>
      </c>
      <c r="E44" s="101">
        <v>0</v>
      </c>
      <c r="F44" s="101">
        <v>568000</v>
      </c>
      <c r="G44" s="101">
        <v>0</v>
      </c>
      <c r="H44" s="101">
        <v>554216.57999999996</v>
      </c>
      <c r="I44" s="101">
        <v>336000</v>
      </c>
      <c r="J44" s="101">
        <v>13783.42</v>
      </c>
      <c r="K44" s="101">
        <v>1216</v>
      </c>
      <c r="L44" s="101">
        <v>0</v>
      </c>
      <c r="M44" s="101">
        <v>0</v>
      </c>
      <c r="N44" s="101">
        <v>0</v>
      </c>
      <c r="O44" s="101">
        <v>0</v>
      </c>
      <c r="P44" s="101">
        <v>12567.42</v>
      </c>
      <c r="Q44" s="101">
        <v>0</v>
      </c>
      <c r="R44" s="101">
        <v>0</v>
      </c>
      <c r="S44" s="101">
        <v>0</v>
      </c>
      <c r="T44" s="101">
        <v>0</v>
      </c>
      <c r="U44" s="101">
        <v>948000</v>
      </c>
      <c r="V44" s="101">
        <v>0</v>
      </c>
      <c r="W44" s="101">
        <v>945179.63</v>
      </c>
      <c r="X44" s="101">
        <v>576000</v>
      </c>
      <c r="Y44" s="101">
        <v>2820.37</v>
      </c>
      <c r="Z44" s="101">
        <v>1824</v>
      </c>
      <c r="AA44" s="101">
        <v>0</v>
      </c>
      <c r="AB44" s="101">
        <v>0</v>
      </c>
      <c r="AC44" s="101">
        <v>0</v>
      </c>
      <c r="AD44" s="101">
        <v>0</v>
      </c>
      <c r="AE44" s="101">
        <v>996.37</v>
      </c>
      <c r="AF44" s="101">
        <v>0</v>
      </c>
      <c r="AG44" s="101">
        <v>0</v>
      </c>
      <c r="AH44" s="101">
        <v>0</v>
      </c>
      <c r="AI44" s="101">
        <v>0</v>
      </c>
      <c r="AJ44" s="101">
        <v>419038.8</v>
      </c>
      <c r="AK44" s="101">
        <v>0</v>
      </c>
      <c r="AL44" s="101">
        <v>632657.68999999994</v>
      </c>
      <c r="AM44" s="101">
        <v>270645.11</v>
      </c>
      <c r="AN44" s="101">
        <v>-213618.89</v>
      </c>
      <c r="AO44" s="101">
        <v>0</v>
      </c>
      <c r="AP44" s="101">
        <v>0</v>
      </c>
      <c r="AQ44" s="101">
        <v>0</v>
      </c>
      <c r="AR44" s="101">
        <v>0</v>
      </c>
      <c r="AS44" s="101">
        <v>0</v>
      </c>
      <c r="AT44" s="101">
        <v>-213618.89</v>
      </c>
      <c r="AU44" s="101">
        <v>0</v>
      </c>
    </row>
    <row r="45" spans="1:47">
      <c r="A45" s="102" t="s">
        <v>903</v>
      </c>
      <c r="B45" s="102" t="e">
        <v>#N/A</v>
      </c>
      <c r="C45" s="101">
        <v>1474198.41</v>
      </c>
      <c r="D45" s="101">
        <v>2273534</v>
      </c>
      <c r="E45" s="101">
        <v>101041166.3803</v>
      </c>
      <c r="F45" s="101">
        <v>146749087.6803</v>
      </c>
      <c r="G45" s="101">
        <v>36395746.409999996</v>
      </c>
      <c r="H45" s="101">
        <v>91449340.220000029</v>
      </c>
      <c r="I45" s="101">
        <v>37165778.07</v>
      </c>
      <c r="J45" s="101">
        <v>55299747.460299976</v>
      </c>
      <c r="K45" s="101">
        <v>42895405.229999997</v>
      </c>
      <c r="L45" s="101">
        <v>726821.66</v>
      </c>
      <c r="M45" s="101">
        <v>0</v>
      </c>
      <c r="N45" s="101">
        <v>-4057178.04</v>
      </c>
      <c r="O45" s="101">
        <v>0</v>
      </c>
      <c r="P45" s="101">
        <v>11677520.570299974</v>
      </c>
      <c r="Q45" s="101">
        <v>7368600.7000000011</v>
      </c>
      <c r="R45" s="101">
        <v>2540062.59</v>
      </c>
      <c r="S45" s="101">
        <v>3913143</v>
      </c>
      <c r="T45" s="101">
        <v>174048296.75529999</v>
      </c>
      <c r="U45" s="101">
        <v>251648990.82530001</v>
      </c>
      <c r="V45" s="101">
        <v>62201347.800000004</v>
      </c>
      <c r="W45" s="101">
        <v>156495734.83999997</v>
      </c>
      <c r="X45" s="101">
        <v>63870574.379999995</v>
      </c>
      <c r="Y45" s="101">
        <v>95153255.985299945</v>
      </c>
      <c r="Z45" s="101">
        <v>73425174.120000005</v>
      </c>
      <c r="AA45" s="101">
        <v>1245979.4099999999</v>
      </c>
      <c r="AB45" s="101">
        <v>0</v>
      </c>
      <c r="AC45" s="101">
        <v>-6955165.040000001</v>
      </c>
      <c r="AD45" s="101">
        <v>0</v>
      </c>
      <c r="AE45" s="101">
        <v>20482102.455299962</v>
      </c>
      <c r="AF45" s="101">
        <v>12568340.310000002</v>
      </c>
      <c r="AG45" s="101">
        <v>1471417</v>
      </c>
      <c r="AH45" s="101">
        <v>2281968</v>
      </c>
      <c r="AI45" s="101">
        <v>98857585.599999994</v>
      </c>
      <c r="AJ45" s="101">
        <v>144537305.22</v>
      </c>
      <c r="AK45" s="101">
        <v>36652587.330000006</v>
      </c>
      <c r="AL45" s="101">
        <v>95020563.070000023</v>
      </c>
      <c r="AM45" s="101">
        <v>36487302.980000012</v>
      </c>
      <c r="AN45" s="101">
        <v>49516742.149999984</v>
      </c>
      <c r="AO45" s="101">
        <v>37437111.340000011</v>
      </c>
      <c r="AP45" s="101">
        <v>706653.35</v>
      </c>
      <c r="AQ45" s="101">
        <v>0</v>
      </c>
      <c r="AR45" s="101">
        <v>-5543947.080000001</v>
      </c>
      <c r="AS45" s="101">
        <v>0</v>
      </c>
      <c r="AT45" s="101">
        <v>11372977.45999999</v>
      </c>
      <c r="AU45" s="101">
        <v>7262213.1600000011</v>
      </c>
    </row>
    <row r="46" spans="1:47">
      <c r="A46" s="102" t="s">
        <v>980</v>
      </c>
      <c r="B46" s="102" t="e">
        <v>#N/A</v>
      </c>
      <c r="C46" s="101">
        <v>1474198.41</v>
      </c>
      <c r="D46" s="101">
        <v>2273534</v>
      </c>
      <c r="E46" s="101">
        <v>101041166.3803</v>
      </c>
      <c r="F46" s="101">
        <v>146749087.6803</v>
      </c>
      <c r="G46" s="101">
        <v>36395746.409999996</v>
      </c>
      <c r="H46" s="101">
        <v>91449340.220000029</v>
      </c>
      <c r="I46" s="101">
        <v>37165778.07</v>
      </c>
      <c r="J46" s="101">
        <v>55299747.460299976</v>
      </c>
      <c r="K46" s="101">
        <v>42895405.229999997</v>
      </c>
      <c r="L46" s="101">
        <v>726821.66</v>
      </c>
      <c r="M46" s="101">
        <v>0</v>
      </c>
      <c r="N46" s="101">
        <v>-4057178.04</v>
      </c>
      <c r="O46" s="101">
        <v>0</v>
      </c>
      <c r="P46" s="101">
        <v>11677520.570299974</v>
      </c>
      <c r="Q46" s="101">
        <v>7368600.7000000011</v>
      </c>
      <c r="R46" s="101">
        <v>2540062.59</v>
      </c>
      <c r="S46" s="101">
        <v>3913143</v>
      </c>
      <c r="T46" s="101">
        <v>174048296.75529999</v>
      </c>
      <c r="U46" s="101">
        <v>251648990.82530001</v>
      </c>
      <c r="V46" s="101">
        <v>62201347.800000004</v>
      </c>
      <c r="W46" s="101">
        <v>156495734.83999997</v>
      </c>
      <c r="X46" s="101">
        <v>63870574.379999995</v>
      </c>
      <c r="Y46" s="101">
        <v>95153255.985299945</v>
      </c>
      <c r="Z46" s="101">
        <v>73425174.120000005</v>
      </c>
      <c r="AA46" s="101">
        <v>1245979.4099999999</v>
      </c>
      <c r="AB46" s="101">
        <v>0</v>
      </c>
      <c r="AC46" s="101">
        <v>-6955165.040000001</v>
      </c>
      <c r="AD46" s="101">
        <v>0</v>
      </c>
      <c r="AE46" s="101">
        <v>20482102.455299962</v>
      </c>
      <c r="AF46" s="101">
        <v>12568340.310000002</v>
      </c>
      <c r="AG46" s="101">
        <v>1471417</v>
      </c>
      <c r="AH46" s="101">
        <v>2281968</v>
      </c>
      <c r="AI46" s="101">
        <v>98857585.599999994</v>
      </c>
      <c r="AJ46" s="101">
        <v>144537305.22</v>
      </c>
      <c r="AK46" s="101">
        <v>36652587.330000006</v>
      </c>
      <c r="AL46" s="101">
        <v>95020563.070000023</v>
      </c>
      <c r="AM46" s="101">
        <v>36487302.980000012</v>
      </c>
      <c r="AN46" s="101">
        <v>49516742.149999984</v>
      </c>
      <c r="AO46" s="101">
        <v>37437111.340000011</v>
      </c>
      <c r="AP46" s="101">
        <v>706653.35</v>
      </c>
      <c r="AQ46" s="101">
        <v>0</v>
      </c>
      <c r="AR46" s="101">
        <v>-5543947.080000001</v>
      </c>
      <c r="AS46" s="101">
        <v>0</v>
      </c>
      <c r="AT46" s="101">
        <v>11372977.45999999</v>
      </c>
      <c r="AU46" s="101">
        <v>7262213.1600000011</v>
      </c>
    </row>
    <row r="47" spans="1:47">
      <c r="A47" s="102" t="s">
        <v>981</v>
      </c>
      <c r="B47" s="102" t="e">
        <v>#N/A</v>
      </c>
      <c r="C47" s="101">
        <v>0</v>
      </c>
      <c r="D47" s="101">
        <v>0</v>
      </c>
      <c r="E47" s="101">
        <v>0</v>
      </c>
      <c r="F47" s="101">
        <v>0</v>
      </c>
      <c r="G47" s="101">
        <v>0</v>
      </c>
      <c r="H47" s="101">
        <v>0</v>
      </c>
      <c r="I47" s="101">
        <v>0</v>
      </c>
      <c r="J47" s="101">
        <v>0</v>
      </c>
      <c r="K47" s="101">
        <v>0</v>
      </c>
      <c r="L47" s="101">
        <v>0</v>
      </c>
      <c r="M47" s="101">
        <v>0</v>
      </c>
      <c r="N47" s="101">
        <v>0</v>
      </c>
      <c r="O47" s="101">
        <v>0</v>
      </c>
      <c r="P47" s="101">
        <v>0</v>
      </c>
      <c r="Q47" s="101">
        <v>0</v>
      </c>
      <c r="R47" s="101">
        <v>0</v>
      </c>
      <c r="S47" s="101">
        <v>0</v>
      </c>
      <c r="T47" s="101">
        <v>0</v>
      </c>
      <c r="U47" s="101">
        <v>0</v>
      </c>
      <c r="V47" s="101">
        <v>0</v>
      </c>
      <c r="W47" s="101">
        <v>0</v>
      </c>
      <c r="X47" s="101">
        <v>0</v>
      </c>
      <c r="Y47" s="101">
        <v>0</v>
      </c>
      <c r="Z47" s="101">
        <v>0</v>
      </c>
      <c r="AA47" s="101">
        <v>0</v>
      </c>
      <c r="AB47" s="101">
        <v>0</v>
      </c>
      <c r="AC47" s="101">
        <v>0</v>
      </c>
      <c r="AD47" s="101">
        <v>0</v>
      </c>
      <c r="AE47" s="101">
        <v>0</v>
      </c>
      <c r="AF47" s="101">
        <v>0</v>
      </c>
      <c r="AG47" s="101">
        <v>0</v>
      </c>
      <c r="AH47" s="101">
        <v>0</v>
      </c>
      <c r="AI47" s="101">
        <v>0</v>
      </c>
      <c r="AJ47" s="101">
        <v>0</v>
      </c>
      <c r="AK47" s="101">
        <v>0</v>
      </c>
      <c r="AL47" s="101">
        <v>301.35000000000002</v>
      </c>
      <c r="AM47" s="101">
        <v>0</v>
      </c>
      <c r="AN47" s="101">
        <v>-301.35000000000002</v>
      </c>
      <c r="AO47" s="101">
        <v>0</v>
      </c>
      <c r="AP47" s="101">
        <v>0</v>
      </c>
      <c r="AQ47" s="101">
        <v>0</v>
      </c>
      <c r="AR47" s="101">
        <v>0</v>
      </c>
      <c r="AS47" s="101">
        <v>0</v>
      </c>
      <c r="AT47" s="101">
        <v>-301.35000000000002</v>
      </c>
      <c r="AU47" s="101">
        <v>0</v>
      </c>
    </row>
    <row r="48" spans="1:47">
      <c r="A48" s="102" t="s">
        <v>982</v>
      </c>
      <c r="B48" s="102" t="e">
        <v>#N/A</v>
      </c>
      <c r="C48" s="101">
        <v>0</v>
      </c>
      <c r="D48" s="101">
        <v>0</v>
      </c>
      <c r="E48" s="101">
        <v>0</v>
      </c>
      <c r="F48" s="101">
        <v>4228034.99</v>
      </c>
      <c r="G48" s="101">
        <v>0</v>
      </c>
      <c r="H48" s="101">
        <v>10707198</v>
      </c>
      <c r="I48" s="101">
        <v>6841286</v>
      </c>
      <c r="J48" s="101">
        <v>-6479163.0099999998</v>
      </c>
      <c r="K48" s="101">
        <v>-1489070</v>
      </c>
      <c r="L48" s="101">
        <v>0</v>
      </c>
      <c r="M48" s="101">
        <v>0</v>
      </c>
      <c r="N48" s="101">
        <v>0</v>
      </c>
      <c r="O48" s="101">
        <v>0</v>
      </c>
      <c r="P48" s="101">
        <v>-4990093.01</v>
      </c>
      <c r="Q48" s="101">
        <v>-3246547.37</v>
      </c>
      <c r="R48" s="101">
        <v>0</v>
      </c>
      <c r="S48" s="101">
        <v>0</v>
      </c>
      <c r="T48" s="101">
        <v>0</v>
      </c>
      <c r="U48" s="101">
        <v>7599902.3399999999</v>
      </c>
      <c r="V48" s="101">
        <v>0</v>
      </c>
      <c r="W48" s="101">
        <v>18198520</v>
      </c>
      <c r="X48" s="101">
        <v>11624811</v>
      </c>
      <c r="Y48" s="101">
        <v>-10598617.66</v>
      </c>
      <c r="Z48" s="101">
        <v>-3648840</v>
      </c>
      <c r="AA48" s="101">
        <v>0</v>
      </c>
      <c r="AB48" s="101">
        <v>0</v>
      </c>
      <c r="AC48" s="101">
        <v>0</v>
      </c>
      <c r="AD48" s="101">
        <v>0</v>
      </c>
      <c r="AE48" s="101">
        <v>-6949777.6600000011</v>
      </c>
      <c r="AF48" s="101">
        <v>-5494579.9000000013</v>
      </c>
      <c r="AG48" s="101">
        <v>0</v>
      </c>
      <c r="AH48" s="101">
        <v>0</v>
      </c>
      <c r="AI48" s="101">
        <v>0</v>
      </c>
      <c r="AJ48" s="101">
        <v>7267815.1000000006</v>
      </c>
      <c r="AK48" s="101">
        <v>0</v>
      </c>
      <c r="AL48" s="101">
        <v>12142548.57</v>
      </c>
      <c r="AM48" s="101">
        <v>5854005.4500000002</v>
      </c>
      <c r="AN48" s="101">
        <v>-4874733.47</v>
      </c>
      <c r="AO48" s="101">
        <v>621839.26</v>
      </c>
      <c r="AP48" s="101">
        <v>0</v>
      </c>
      <c r="AQ48" s="101">
        <v>0</v>
      </c>
      <c r="AR48" s="101">
        <v>0</v>
      </c>
      <c r="AS48" s="101">
        <v>0</v>
      </c>
      <c r="AT48" s="101">
        <v>-5496572.7300000014</v>
      </c>
      <c r="AU48" s="101">
        <v>-8524464.75</v>
      </c>
    </row>
    <row r="49" spans="1:47">
      <c r="A49" s="102" t="s">
        <v>983</v>
      </c>
      <c r="B49" s="102" t="e">
        <v>#N/A</v>
      </c>
      <c r="C49" s="101">
        <v>0</v>
      </c>
      <c r="D49" s="101">
        <v>0</v>
      </c>
      <c r="E49" s="101">
        <v>0</v>
      </c>
      <c r="F49" s="101">
        <v>0</v>
      </c>
      <c r="G49" s="101">
        <v>0</v>
      </c>
      <c r="H49" s="101">
        <v>0</v>
      </c>
      <c r="I49" s="101">
        <v>0</v>
      </c>
      <c r="J49" s="101">
        <v>0</v>
      </c>
      <c r="K49" s="101">
        <v>0</v>
      </c>
      <c r="L49" s="101">
        <v>0</v>
      </c>
      <c r="M49" s="101">
        <v>0</v>
      </c>
      <c r="N49" s="101">
        <v>0</v>
      </c>
      <c r="O49" s="101">
        <v>0</v>
      </c>
      <c r="P49" s="101">
        <v>0</v>
      </c>
      <c r="Q49" s="101">
        <v>0</v>
      </c>
      <c r="R49" s="101">
        <v>0</v>
      </c>
      <c r="S49" s="101">
        <v>0</v>
      </c>
      <c r="T49" s="101">
        <v>0</v>
      </c>
      <c r="U49" s="101">
        <v>0</v>
      </c>
      <c r="V49" s="101">
        <v>0</v>
      </c>
      <c r="W49" s="101">
        <v>0</v>
      </c>
      <c r="X49" s="101">
        <v>0</v>
      </c>
      <c r="Y49" s="101">
        <v>0</v>
      </c>
      <c r="Z49" s="101">
        <v>0</v>
      </c>
      <c r="AA49" s="101">
        <v>0</v>
      </c>
      <c r="AB49" s="101">
        <v>0</v>
      </c>
      <c r="AC49" s="101">
        <v>0</v>
      </c>
      <c r="AD49" s="101">
        <v>0</v>
      </c>
      <c r="AE49" s="101">
        <v>0</v>
      </c>
      <c r="AF49" s="101">
        <v>0</v>
      </c>
      <c r="AG49" s="101">
        <v>0</v>
      </c>
      <c r="AH49" s="101">
        <v>0</v>
      </c>
      <c r="AI49" s="101">
        <v>0</v>
      </c>
      <c r="AJ49" s="101">
        <v>0</v>
      </c>
      <c r="AK49" s="101">
        <v>0</v>
      </c>
      <c r="AL49" s="101">
        <v>2728.01</v>
      </c>
      <c r="AM49" s="101">
        <v>1027.96</v>
      </c>
      <c r="AN49" s="101">
        <v>-2728.01</v>
      </c>
      <c r="AO49" s="101">
        <v>0</v>
      </c>
      <c r="AP49" s="101">
        <v>0</v>
      </c>
      <c r="AQ49" s="101">
        <v>0</v>
      </c>
      <c r="AR49" s="101">
        <v>0</v>
      </c>
      <c r="AS49" s="101">
        <v>0</v>
      </c>
      <c r="AT49" s="101">
        <v>-2728.01</v>
      </c>
      <c r="AU49" s="101">
        <v>0</v>
      </c>
    </row>
    <row r="50" spans="1:47">
      <c r="A50" s="102" t="s">
        <v>984</v>
      </c>
      <c r="B50" s="102" t="e">
        <v>#N/A</v>
      </c>
      <c r="C50" s="101">
        <v>0</v>
      </c>
      <c r="D50" s="101">
        <v>0</v>
      </c>
      <c r="E50" s="101">
        <v>0</v>
      </c>
      <c r="F50" s="101">
        <v>4228034.99</v>
      </c>
      <c r="G50" s="101">
        <v>0</v>
      </c>
      <c r="H50" s="101">
        <v>10707198</v>
      </c>
      <c r="I50" s="101">
        <v>6841286</v>
      </c>
      <c r="J50" s="101">
        <v>-6479163.0099999998</v>
      </c>
      <c r="K50" s="101">
        <v>-1489070</v>
      </c>
      <c r="L50" s="101">
        <v>0</v>
      </c>
      <c r="M50" s="101">
        <v>0</v>
      </c>
      <c r="N50" s="101">
        <v>0</v>
      </c>
      <c r="O50" s="101">
        <v>0</v>
      </c>
      <c r="P50" s="101">
        <v>-4990093.01</v>
      </c>
      <c r="Q50" s="101">
        <v>-3246547.37</v>
      </c>
      <c r="R50" s="101">
        <v>0</v>
      </c>
      <c r="S50" s="101">
        <v>0</v>
      </c>
      <c r="T50" s="101">
        <v>0</v>
      </c>
      <c r="U50" s="101">
        <v>7599902.3399999999</v>
      </c>
      <c r="V50" s="101">
        <v>0</v>
      </c>
      <c r="W50" s="101">
        <v>18198520</v>
      </c>
      <c r="X50" s="101">
        <v>11624811</v>
      </c>
      <c r="Y50" s="101">
        <v>-10598617.66</v>
      </c>
      <c r="Z50" s="101">
        <v>-3648840</v>
      </c>
      <c r="AA50" s="101">
        <v>0</v>
      </c>
      <c r="AB50" s="101">
        <v>0</v>
      </c>
      <c r="AC50" s="101">
        <v>0</v>
      </c>
      <c r="AD50" s="101">
        <v>0</v>
      </c>
      <c r="AE50" s="101">
        <v>-6949777.6600000011</v>
      </c>
      <c r="AF50" s="101">
        <v>-5494579.9000000013</v>
      </c>
      <c r="AG50" s="101">
        <v>0</v>
      </c>
      <c r="AH50" s="101">
        <v>0</v>
      </c>
      <c r="AI50" s="101">
        <v>0</v>
      </c>
      <c r="AJ50" s="101">
        <v>7267815.1000000006</v>
      </c>
      <c r="AK50" s="101">
        <v>0</v>
      </c>
      <c r="AL50" s="101">
        <v>12145577.93</v>
      </c>
      <c r="AM50" s="101">
        <v>5855033.4100000001</v>
      </c>
      <c r="AN50" s="101">
        <v>-4877762.830000001</v>
      </c>
      <c r="AO50" s="101">
        <v>621839.26</v>
      </c>
      <c r="AP50" s="101">
        <v>0</v>
      </c>
      <c r="AQ50" s="101">
        <v>0</v>
      </c>
      <c r="AR50" s="101">
        <v>0</v>
      </c>
      <c r="AS50" s="101">
        <v>0</v>
      </c>
      <c r="AT50" s="101">
        <v>-5499602.0900000008</v>
      </c>
      <c r="AU50" s="101">
        <v>-8524464.75</v>
      </c>
    </row>
    <row r="51" spans="1:47">
      <c r="A51" s="102" t="s">
        <v>985</v>
      </c>
      <c r="B51" s="102" t="e">
        <v>#N/A</v>
      </c>
      <c r="C51" s="101">
        <v>1474198.41</v>
      </c>
      <c r="D51" s="101">
        <v>2273534</v>
      </c>
      <c r="E51" s="101">
        <v>101041166.3803</v>
      </c>
      <c r="F51" s="101">
        <v>150977122.67030001</v>
      </c>
      <c r="G51" s="101">
        <v>36395746.409999996</v>
      </c>
      <c r="H51" s="101">
        <v>102156538.22000001</v>
      </c>
      <c r="I51" s="101">
        <v>44007064.070000008</v>
      </c>
      <c r="J51" s="101">
        <v>48820584.450299971</v>
      </c>
      <c r="K51" s="101">
        <v>41406335.229999997</v>
      </c>
      <c r="L51" s="101">
        <v>726821.66</v>
      </c>
      <c r="M51" s="101">
        <v>0</v>
      </c>
      <c r="N51" s="101">
        <v>-4057178.04</v>
      </c>
      <c r="O51" s="101">
        <v>0</v>
      </c>
      <c r="P51" s="101">
        <v>6687427.5602999786</v>
      </c>
      <c r="Q51" s="101">
        <v>4122053.33</v>
      </c>
      <c r="R51" s="101">
        <v>2540062.59</v>
      </c>
      <c r="S51" s="101">
        <v>3913143</v>
      </c>
      <c r="T51" s="101">
        <v>174048296.75529999</v>
      </c>
      <c r="U51" s="101">
        <v>259248893.16530001</v>
      </c>
      <c r="V51" s="101">
        <v>62201347.800000004</v>
      </c>
      <c r="W51" s="101">
        <v>174694254.83999997</v>
      </c>
      <c r="X51" s="101">
        <v>75495385.379999995</v>
      </c>
      <c r="Y51" s="101">
        <v>84554638.325299948</v>
      </c>
      <c r="Z51" s="101">
        <v>69776334.120000005</v>
      </c>
      <c r="AA51" s="101">
        <v>1245979.4099999999</v>
      </c>
      <c r="AB51" s="101">
        <v>0</v>
      </c>
      <c r="AC51" s="101">
        <v>-6955165.040000001</v>
      </c>
      <c r="AD51" s="101">
        <v>0</v>
      </c>
      <c r="AE51" s="101">
        <v>13532324.795299968</v>
      </c>
      <c r="AF51" s="101">
        <v>7073760.4100000011</v>
      </c>
      <c r="AG51" s="101">
        <v>1471417</v>
      </c>
      <c r="AH51" s="101">
        <v>2281968</v>
      </c>
      <c r="AI51" s="101">
        <v>98857585.599999994</v>
      </c>
      <c r="AJ51" s="101">
        <v>151805120.31999999</v>
      </c>
      <c r="AK51" s="101">
        <v>36652587.330000006</v>
      </c>
      <c r="AL51" s="101">
        <v>107166140.99999999</v>
      </c>
      <c r="AM51" s="101">
        <v>42342336.389999993</v>
      </c>
      <c r="AN51" s="101">
        <v>44638979.319999993</v>
      </c>
      <c r="AO51" s="101">
        <v>38058950.600000001</v>
      </c>
      <c r="AP51" s="101">
        <v>706653.35</v>
      </c>
      <c r="AQ51" s="101">
        <v>0</v>
      </c>
      <c r="AR51" s="101">
        <v>-5543947.080000001</v>
      </c>
      <c r="AS51" s="101">
        <v>0</v>
      </c>
      <c r="AT51" s="101">
        <v>5873375.3699999889</v>
      </c>
      <c r="AU51" s="101">
        <v>-1262251.5900000001</v>
      </c>
    </row>
    <row r="52" spans="1:47">
      <c r="A52" s="102" t="s">
        <v>986</v>
      </c>
      <c r="B52" s="102" t="e">
        <v>#N/A</v>
      </c>
      <c r="C52" s="101">
        <v>171215</v>
      </c>
      <c r="D52" s="101">
        <v>331428</v>
      </c>
      <c r="E52" s="101">
        <v>12397532.48</v>
      </c>
      <c r="F52" s="101">
        <v>21404262.670000006</v>
      </c>
      <c r="G52" s="101">
        <v>5895019.1400000006</v>
      </c>
      <c r="H52" s="101">
        <v>14633982.879999997</v>
      </c>
      <c r="I52" s="101">
        <v>6393681.120000001</v>
      </c>
      <c r="J52" s="101">
        <v>6770279.7900000028</v>
      </c>
      <c r="K52" s="101">
        <v>2717226.06</v>
      </c>
      <c r="L52" s="101">
        <v>0</v>
      </c>
      <c r="M52" s="101">
        <v>0</v>
      </c>
      <c r="N52" s="101">
        <v>-1239189.28</v>
      </c>
      <c r="O52" s="101">
        <v>0</v>
      </c>
      <c r="P52" s="101">
        <v>4053053.7300000009</v>
      </c>
      <c r="Q52" s="101">
        <v>1020966.68</v>
      </c>
      <c r="R52" s="101">
        <v>285324</v>
      </c>
      <c r="S52" s="101">
        <v>555244</v>
      </c>
      <c r="T52" s="101">
        <v>21403321.579999998</v>
      </c>
      <c r="U52" s="101">
        <v>36957473.75</v>
      </c>
      <c r="V52" s="101">
        <v>10162975.030000001</v>
      </c>
      <c r="W52" s="101">
        <v>24745855.320000004</v>
      </c>
      <c r="X52" s="101">
        <v>10818752.07</v>
      </c>
      <c r="Y52" s="101">
        <v>12211618.43</v>
      </c>
      <c r="Z52" s="101">
        <v>5094444.2000000011</v>
      </c>
      <c r="AA52" s="101">
        <v>0</v>
      </c>
      <c r="AB52" s="101">
        <v>0</v>
      </c>
      <c r="AC52" s="101">
        <v>-2124324.48</v>
      </c>
      <c r="AD52" s="101">
        <v>0</v>
      </c>
      <c r="AE52" s="101">
        <v>7117174.2300000023</v>
      </c>
      <c r="AF52" s="101">
        <v>1777507.86</v>
      </c>
      <c r="AG52" s="101">
        <v>190340</v>
      </c>
      <c r="AH52" s="101">
        <v>522771</v>
      </c>
      <c r="AI52" s="101">
        <v>10995666.68</v>
      </c>
      <c r="AJ52" s="101">
        <v>19428307.469999999</v>
      </c>
      <c r="AK52" s="101">
        <v>5154098.51</v>
      </c>
      <c r="AL52" s="101">
        <v>14855025.619999997</v>
      </c>
      <c r="AM52" s="101">
        <v>5941885.0199999996</v>
      </c>
      <c r="AN52" s="101">
        <v>4573281.8499999987</v>
      </c>
      <c r="AO52" s="101">
        <v>142021.95000000001</v>
      </c>
      <c r="AP52" s="101">
        <v>-929.07</v>
      </c>
      <c r="AQ52" s="101">
        <v>0</v>
      </c>
      <c r="AR52" s="101">
        <v>-3522423.8</v>
      </c>
      <c r="AS52" s="101">
        <v>0</v>
      </c>
      <c r="AT52" s="101">
        <v>4432188.9699999979</v>
      </c>
      <c r="AU52" s="101">
        <v>916631.76</v>
      </c>
    </row>
    <row r="53" spans="1:47">
      <c r="A53" s="102" t="s">
        <v>987</v>
      </c>
      <c r="B53" s="102" t="e">
        <v>#N/A</v>
      </c>
      <c r="C53" s="101">
        <v>0</v>
      </c>
      <c r="D53" s="101">
        <v>0</v>
      </c>
      <c r="E53" s="101">
        <v>0</v>
      </c>
      <c r="F53" s="101">
        <v>0</v>
      </c>
      <c r="G53" s="101">
        <v>0</v>
      </c>
      <c r="H53" s="101">
        <v>0</v>
      </c>
      <c r="I53" s="101">
        <v>0</v>
      </c>
      <c r="J53" s="101">
        <v>0</v>
      </c>
      <c r="K53" s="101">
        <v>0</v>
      </c>
      <c r="L53" s="101">
        <v>0</v>
      </c>
      <c r="M53" s="101">
        <v>0</v>
      </c>
      <c r="N53" s="101">
        <v>0</v>
      </c>
      <c r="O53" s="101">
        <v>0</v>
      </c>
      <c r="P53" s="101">
        <v>0</v>
      </c>
      <c r="Q53" s="101">
        <v>0</v>
      </c>
      <c r="R53" s="101">
        <v>0</v>
      </c>
      <c r="S53" s="101">
        <v>0</v>
      </c>
      <c r="T53" s="101">
        <v>0</v>
      </c>
      <c r="U53" s="101">
        <v>0</v>
      </c>
      <c r="V53" s="101">
        <v>0</v>
      </c>
      <c r="W53" s="101">
        <v>0</v>
      </c>
      <c r="X53" s="101">
        <v>0</v>
      </c>
      <c r="Y53" s="101">
        <v>0</v>
      </c>
      <c r="Z53" s="101">
        <v>0</v>
      </c>
      <c r="AA53" s="101">
        <v>0</v>
      </c>
      <c r="AB53" s="101">
        <v>0</v>
      </c>
      <c r="AC53" s="101">
        <v>0</v>
      </c>
      <c r="AD53" s="101">
        <v>0</v>
      </c>
      <c r="AE53" s="101">
        <v>0</v>
      </c>
      <c r="AF53" s="101">
        <v>0</v>
      </c>
      <c r="AG53" s="101">
        <v>0</v>
      </c>
      <c r="AH53" s="101">
        <v>0</v>
      </c>
      <c r="AI53" s="101">
        <v>0</v>
      </c>
      <c r="AJ53" s="101">
        <v>0</v>
      </c>
      <c r="AK53" s="101">
        <v>0</v>
      </c>
      <c r="AL53" s="101">
        <v>0</v>
      </c>
      <c r="AM53" s="101">
        <v>0</v>
      </c>
      <c r="AN53" s="101">
        <v>0</v>
      </c>
      <c r="AO53" s="101">
        <v>0</v>
      </c>
      <c r="AP53" s="101">
        <v>0</v>
      </c>
      <c r="AQ53" s="101">
        <v>0</v>
      </c>
      <c r="AR53" s="101">
        <v>0</v>
      </c>
      <c r="AS53" s="101">
        <v>0</v>
      </c>
      <c r="AT53" s="101">
        <v>0</v>
      </c>
      <c r="AU53" s="101">
        <v>0</v>
      </c>
    </row>
    <row r="54" spans="1:47">
      <c r="A54" s="102" t="s">
        <v>988</v>
      </c>
      <c r="B54" s="102" t="e">
        <v>#N/A</v>
      </c>
      <c r="C54" s="101">
        <v>1645413.41</v>
      </c>
      <c r="D54" s="101">
        <v>2604962</v>
      </c>
      <c r="E54" s="101">
        <v>113438698.8603</v>
      </c>
      <c r="F54" s="101">
        <v>172381385.34030002</v>
      </c>
      <c r="G54" s="101">
        <v>42290765.549999997</v>
      </c>
      <c r="H54" s="101">
        <v>116790521.10000001</v>
      </c>
      <c r="I54" s="101">
        <v>50400745.189999998</v>
      </c>
      <c r="J54" s="101">
        <v>55590864.240299992</v>
      </c>
      <c r="K54" s="101">
        <v>44123561.289999999</v>
      </c>
      <c r="L54" s="101">
        <v>726821.66</v>
      </c>
      <c r="M54" s="101">
        <v>0</v>
      </c>
      <c r="N54" s="101">
        <v>-5296367.3200000012</v>
      </c>
      <c r="O54" s="101">
        <v>0</v>
      </c>
      <c r="P54" s="101">
        <v>10740481.290299973</v>
      </c>
      <c r="Q54" s="101">
        <v>5143020.01</v>
      </c>
      <c r="R54" s="101">
        <v>2825386.59</v>
      </c>
      <c r="S54" s="101">
        <v>4468387</v>
      </c>
      <c r="T54" s="101">
        <v>195451618.3353</v>
      </c>
      <c r="U54" s="101">
        <v>296206366.91530001</v>
      </c>
      <c r="V54" s="101">
        <v>72364322.829999998</v>
      </c>
      <c r="W54" s="101">
        <v>199440110.16</v>
      </c>
      <c r="X54" s="101">
        <v>86314137.449999988</v>
      </c>
      <c r="Y54" s="101">
        <v>96766256.755299956</v>
      </c>
      <c r="Z54" s="101">
        <v>74870778.319999993</v>
      </c>
      <c r="AA54" s="101">
        <v>1245979.4099999999</v>
      </c>
      <c r="AB54" s="101">
        <v>0</v>
      </c>
      <c r="AC54" s="101">
        <v>-9079489.5199999996</v>
      </c>
      <c r="AD54" s="101">
        <v>0</v>
      </c>
      <c r="AE54" s="101">
        <v>20649499.025299959</v>
      </c>
      <c r="AF54" s="101">
        <v>8851268.2699999996</v>
      </c>
      <c r="AG54" s="101">
        <v>1661757</v>
      </c>
      <c r="AH54" s="101">
        <v>2804739</v>
      </c>
      <c r="AI54" s="101">
        <v>109853252.28</v>
      </c>
      <c r="AJ54" s="101">
        <v>171233427.78999999</v>
      </c>
      <c r="AK54" s="101">
        <v>41806685.840000011</v>
      </c>
      <c r="AL54" s="101">
        <v>122021166.61999997</v>
      </c>
      <c r="AM54" s="101">
        <v>48284221.409999996</v>
      </c>
      <c r="AN54" s="101">
        <v>49212261.170000002</v>
      </c>
      <c r="AO54" s="101">
        <v>38200972.550000004</v>
      </c>
      <c r="AP54" s="101">
        <v>705724.28</v>
      </c>
      <c r="AQ54" s="101">
        <v>0</v>
      </c>
      <c r="AR54" s="101">
        <v>-9066370.8800000027</v>
      </c>
      <c r="AS54" s="101">
        <v>0</v>
      </c>
      <c r="AT54" s="101">
        <v>10305564.339999996</v>
      </c>
      <c r="AU54" s="101">
        <v>-345619.83000000101</v>
      </c>
    </row>
    <row r="55" spans="1:47">
      <c r="A55" s="102" t="s">
        <v>989</v>
      </c>
      <c r="B55" s="102" t="e">
        <v>#N/A</v>
      </c>
      <c r="C55" s="101">
        <v>0</v>
      </c>
      <c r="D55" s="101">
        <v>0</v>
      </c>
      <c r="E55" s="101">
        <v>0</v>
      </c>
      <c r="F55" s="101">
        <v>0</v>
      </c>
      <c r="G55" s="101">
        <v>0</v>
      </c>
      <c r="H55" s="101">
        <v>0</v>
      </c>
      <c r="I55" s="101">
        <v>0</v>
      </c>
      <c r="J55" s="101">
        <v>0</v>
      </c>
      <c r="K55" s="101">
        <v>-250333</v>
      </c>
      <c r="L55" s="101">
        <v>0</v>
      </c>
      <c r="M55" s="101">
        <v>0</v>
      </c>
      <c r="N55" s="101">
        <v>0</v>
      </c>
      <c r="O55" s="101">
        <v>0</v>
      </c>
      <c r="P55" s="101">
        <v>250333</v>
      </c>
      <c r="Q55" s="101">
        <v>0</v>
      </c>
      <c r="R55" s="101">
        <v>0</v>
      </c>
      <c r="S55" s="101">
        <v>0</v>
      </c>
      <c r="T55" s="101">
        <v>0</v>
      </c>
      <c r="U55" s="101">
        <v>0</v>
      </c>
      <c r="V55" s="101">
        <v>0</v>
      </c>
      <c r="W55" s="101">
        <v>0</v>
      </c>
      <c r="X55" s="101">
        <v>0</v>
      </c>
      <c r="Y55" s="101">
        <v>0</v>
      </c>
      <c r="Z55" s="101">
        <v>-1501333</v>
      </c>
      <c r="AA55" s="101">
        <v>0</v>
      </c>
      <c r="AB55" s="101">
        <v>0</v>
      </c>
      <c r="AC55" s="101">
        <v>0</v>
      </c>
      <c r="AD55" s="101">
        <v>0</v>
      </c>
      <c r="AE55" s="101">
        <v>1501333</v>
      </c>
      <c r="AF55" s="101">
        <v>0</v>
      </c>
      <c r="AG55" s="101">
        <v>0</v>
      </c>
      <c r="AH55" s="101">
        <v>0</v>
      </c>
      <c r="AI55" s="101">
        <v>0</v>
      </c>
      <c r="AJ55" s="101">
        <v>0</v>
      </c>
      <c r="AK55" s="101">
        <v>0</v>
      </c>
      <c r="AL55" s="101">
        <v>0</v>
      </c>
      <c r="AM55" s="101">
        <v>0</v>
      </c>
      <c r="AN55" s="101">
        <v>0</v>
      </c>
      <c r="AO55" s="101">
        <v>0</v>
      </c>
      <c r="AP55" s="101">
        <v>0</v>
      </c>
      <c r="AQ55" s="101">
        <v>0</v>
      </c>
      <c r="AR55" s="101">
        <v>0</v>
      </c>
      <c r="AS55" s="101">
        <v>0</v>
      </c>
      <c r="AT55" s="101">
        <v>0</v>
      </c>
      <c r="AU55" s="101">
        <v>0</v>
      </c>
    </row>
    <row r="56" spans="1:47">
      <c r="A56" s="102" t="s">
        <v>990</v>
      </c>
      <c r="B56" s="102" t="e">
        <v>#N/A</v>
      </c>
      <c r="C56" s="101">
        <v>1645413.41</v>
      </c>
      <c r="D56" s="101">
        <v>2604962</v>
      </c>
      <c r="E56" s="101">
        <v>113438698.8603</v>
      </c>
      <c r="F56" s="101">
        <v>172381385.34030002</v>
      </c>
      <c r="G56" s="101">
        <v>42290765.549999997</v>
      </c>
      <c r="H56" s="101">
        <v>116790521.10000001</v>
      </c>
      <c r="I56" s="101">
        <v>50400745.189999998</v>
      </c>
      <c r="J56" s="101">
        <v>55590864.240299992</v>
      </c>
      <c r="K56" s="101">
        <v>43873228.289999999</v>
      </c>
      <c r="L56" s="101">
        <v>726821.66</v>
      </c>
      <c r="M56" s="101">
        <v>0</v>
      </c>
      <c r="N56" s="101">
        <v>-5296367.3200000012</v>
      </c>
      <c r="O56" s="101">
        <v>0</v>
      </c>
      <c r="P56" s="101">
        <v>10990814.290299973</v>
      </c>
      <c r="Q56" s="101">
        <v>5143020.01</v>
      </c>
      <c r="R56" s="101">
        <v>2825386.59</v>
      </c>
      <c r="S56" s="101">
        <v>4468387</v>
      </c>
      <c r="T56" s="101">
        <v>195451618.3353</v>
      </c>
      <c r="U56" s="101">
        <v>296206366.91530001</v>
      </c>
      <c r="V56" s="101">
        <v>72364322.829999998</v>
      </c>
      <c r="W56" s="101">
        <v>199440110.16</v>
      </c>
      <c r="X56" s="101">
        <v>86314137.449999988</v>
      </c>
      <c r="Y56" s="101">
        <v>96766256.755299956</v>
      </c>
      <c r="Z56" s="101">
        <v>73369445.319999993</v>
      </c>
      <c r="AA56" s="101">
        <v>1245979.4099999999</v>
      </c>
      <c r="AB56" s="101">
        <v>0</v>
      </c>
      <c r="AC56" s="101">
        <v>-9079489.5199999996</v>
      </c>
      <c r="AD56" s="101">
        <v>0</v>
      </c>
      <c r="AE56" s="101">
        <v>22150832.025299959</v>
      </c>
      <c r="AF56" s="101">
        <v>8851268.2699999996</v>
      </c>
      <c r="AG56" s="101">
        <v>1661757</v>
      </c>
      <c r="AH56" s="101">
        <v>2804739</v>
      </c>
      <c r="AI56" s="101">
        <v>109853252.28</v>
      </c>
      <c r="AJ56" s="101">
        <v>171233427.78999999</v>
      </c>
      <c r="AK56" s="101">
        <v>41806685.840000011</v>
      </c>
      <c r="AL56" s="101">
        <v>122021166.61999997</v>
      </c>
      <c r="AM56" s="101">
        <v>48284221.409999996</v>
      </c>
      <c r="AN56" s="101">
        <v>49212261.170000002</v>
      </c>
      <c r="AO56" s="101">
        <v>38200972.550000004</v>
      </c>
      <c r="AP56" s="101">
        <v>705724.28</v>
      </c>
      <c r="AQ56" s="101">
        <v>0</v>
      </c>
      <c r="AR56" s="101">
        <v>-9066370.8800000027</v>
      </c>
      <c r="AS56" s="101">
        <v>0</v>
      </c>
      <c r="AT56" s="101">
        <v>10305564.339999996</v>
      </c>
      <c r="AU56" s="101">
        <v>-345619.83000000101</v>
      </c>
    </row>
    <row r="57" spans="1:47">
      <c r="A57" s="102" t="s">
        <v>991</v>
      </c>
      <c r="B57" s="102" t="e">
        <v>#N/A</v>
      </c>
      <c r="C57" s="101">
        <v>1645413.41</v>
      </c>
      <c r="D57" s="101">
        <v>2604962</v>
      </c>
      <c r="E57" s="101">
        <v>113438698.8603</v>
      </c>
      <c r="F57" s="101">
        <v>176781606.07910001</v>
      </c>
      <c r="G57" s="101">
        <v>42290765.549999997</v>
      </c>
      <c r="H57" s="101">
        <v>118585501.67788801</v>
      </c>
      <c r="I57" s="101">
        <v>50882523.270000003</v>
      </c>
      <c r="J57" s="101">
        <v>58196104.401211999</v>
      </c>
      <c r="K57" s="101">
        <v>43910818.640000001</v>
      </c>
      <c r="L57" s="101">
        <v>726821.66</v>
      </c>
      <c r="M57" s="101">
        <v>0</v>
      </c>
      <c r="N57" s="101">
        <v>-5296367.3200000012</v>
      </c>
      <c r="O57" s="101">
        <v>0</v>
      </c>
      <c r="P57" s="101">
        <v>13558464.101211971</v>
      </c>
      <c r="Q57" s="101">
        <v>5143020.01</v>
      </c>
      <c r="R57" s="101">
        <v>2825386.59</v>
      </c>
      <c r="S57" s="101">
        <v>4468387</v>
      </c>
      <c r="T57" s="101">
        <v>195451618.3353</v>
      </c>
      <c r="U57" s="101">
        <v>304662396.9152</v>
      </c>
      <c r="V57" s="101">
        <v>72364322.829999998</v>
      </c>
      <c r="W57" s="101">
        <v>203091041.16009995</v>
      </c>
      <c r="X57" s="101">
        <v>87140042.729999989</v>
      </c>
      <c r="Y57" s="101">
        <v>101571355.75509995</v>
      </c>
      <c r="Z57" s="101">
        <v>73433885.86999999</v>
      </c>
      <c r="AA57" s="101">
        <v>1245979.4099999999</v>
      </c>
      <c r="AB57" s="101">
        <v>0</v>
      </c>
      <c r="AC57" s="101">
        <v>-9079489.5199999996</v>
      </c>
      <c r="AD57" s="101">
        <v>0</v>
      </c>
      <c r="AE57" s="101">
        <v>26891490.475099958</v>
      </c>
      <c r="AF57" s="101">
        <v>8851268.2699999996</v>
      </c>
      <c r="AG57" s="101">
        <v>1661757</v>
      </c>
      <c r="AH57" s="101">
        <v>2804739</v>
      </c>
      <c r="AI57" s="101">
        <v>109853252.28</v>
      </c>
      <c r="AJ57" s="101">
        <v>175426447.67999998</v>
      </c>
      <c r="AK57" s="101">
        <v>41806685.840000011</v>
      </c>
      <c r="AL57" s="101">
        <v>125742612.32999998</v>
      </c>
      <c r="AM57" s="101">
        <v>48751190.079999998</v>
      </c>
      <c r="AN57" s="101">
        <v>49683835.349999994</v>
      </c>
      <c r="AO57" s="101">
        <v>38200972.550000004</v>
      </c>
      <c r="AP57" s="101">
        <v>705724.28</v>
      </c>
      <c r="AQ57" s="101">
        <v>0</v>
      </c>
      <c r="AR57" s="101">
        <v>-9066370.8800000027</v>
      </c>
      <c r="AS57" s="101">
        <v>0</v>
      </c>
      <c r="AT57" s="101">
        <v>10777138.519999994</v>
      </c>
      <c r="AU57" s="101">
        <v>-345619.83000000101</v>
      </c>
    </row>
    <row r="58" spans="1:47">
      <c r="A58" s="102" t="s">
        <v>992</v>
      </c>
      <c r="B58" s="102" t="e">
        <v>#N/A</v>
      </c>
      <c r="C58" s="101">
        <v>1185224.49</v>
      </c>
      <c r="D58" s="101">
        <v>1786736</v>
      </c>
      <c r="E58" s="101">
        <v>103520913.58084656</v>
      </c>
      <c r="F58" s="101">
        <v>161978347.24299446</v>
      </c>
      <c r="G58" s="101">
        <v>44546493.998767875</v>
      </c>
      <c r="H58" s="101">
        <v>104608032.71761626</v>
      </c>
      <c r="I58" s="101">
        <v>45204743.239326745</v>
      </c>
      <c r="J58" s="101">
        <v>57370314.525378227</v>
      </c>
      <c r="K58" s="101">
        <v>24030752.427838001</v>
      </c>
      <c r="L58" s="101">
        <v>2426321.8746556798</v>
      </c>
      <c r="M58" s="101">
        <v>0</v>
      </c>
      <c r="N58" s="101">
        <v>0</v>
      </c>
      <c r="O58" s="101">
        <v>0</v>
      </c>
      <c r="P58" s="101">
        <v>30913240.222884513</v>
      </c>
      <c r="Q58" s="101">
        <v>6328899.6209001904</v>
      </c>
      <c r="R58" s="101">
        <v>2073711.49</v>
      </c>
      <c r="S58" s="101">
        <v>3076220</v>
      </c>
      <c r="T58" s="101">
        <v>183231246.604716</v>
      </c>
      <c r="U58" s="101">
        <v>290840300.45862544</v>
      </c>
      <c r="V58" s="101">
        <v>81611958.819271296</v>
      </c>
      <c r="W58" s="101">
        <v>182538376.14171851</v>
      </c>
      <c r="X58" s="101">
        <v>77739748.330418795</v>
      </c>
      <c r="Y58" s="101">
        <v>108301924.31690679</v>
      </c>
      <c r="Z58" s="101">
        <v>41935770.091205999</v>
      </c>
      <c r="AA58" s="101">
        <v>4164382.3485292802</v>
      </c>
      <c r="AB58" s="101">
        <v>0</v>
      </c>
      <c r="AC58" s="101">
        <v>0</v>
      </c>
      <c r="AD58" s="101">
        <v>0</v>
      </c>
      <c r="AE58" s="101">
        <v>62201771.877171487</v>
      </c>
      <c r="AF58" s="101">
        <v>11376839.00419162</v>
      </c>
      <c r="AG58" s="101">
        <v>1171516</v>
      </c>
      <c r="AH58" s="101">
        <v>1871444</v>
      </c>
      <c r="AI58" s="101">
        <v>101763729.6645041</v>
      </c>
      <c r="AJ58" s="101">
        <v>160852534.69788811</v>
      </c>
      <c r="AK58" s="101">
        <v>44379004.855360001</v>
      </c>
      <c r="AL58" s="101">
        <v>101712522.67289598</v>
      </c>
      <c r="AM58" s="101">
        <v>41512427.320683986</v>
      </c>
      <c r="AN58" s="101">
        <v>59140012.024992071</v>
      </c>
      <c r="AO58" s="101">
        <v>23862079.864011999</v>
      </c>
      <c r="AP58" s="101">
        <v>2368961.22431</v>
      </c>
      <c r="AQ58" s="101">
        <v>52169.147440000001</v>
      </c>
      <c r="AR58" s="101">
        <v>0</v>
      </c>
      <c r="AS58" s="101">
        <v>0</v>
      </c>
      <c r="AT58" s="101">
        <v>32856801.789230112</v>
      </c>
      <c r="AU58" s="101">
        <v>6179888.5793460011</v>
      </c>
    </row>
    <row r="59" spans="1:47">
      <c r="A59" s="102" t="s">
        <v>463</v>
      </c>
      <c r="B59" s="102" t="s">
        <v>131</v>
      </c>
      <c r="C59" s="101">
        <v>17824</v>
      </c>
      <c r="D59" s="101">
        <v>26500</v>
      </c>
      <c r="E59" s="101">
        <v>962973.85</v>
      </c>
      <c r="F59" s="101">
        <v>1491262.63</v>
      </c>
      <c r="G59" s="101">
        <v>455681.15</v>
      </c>
      <c r="H59" s="101">
        <v>1092790.3600000001</v>
      </c>
      <c r="I59" s="101">
        <v>404664.63</v>
      </c>
      <c r="J59" s="101">
        <v>398472.27</v>
      </c>
      <c r="K59" s="101">
        <v>393946</v>
      </c>
      <c r="L59" s="101">
        <v>10269</v>
      </c>
      <c r="M59" s="101">
        <v>0</v>
      </c>
      <c r="N59" s="101">
        <v>0</v>
      </c>
      <c r="O59" s="101">
        <v>0</v>
      </c>
      <c r="P59" s="101">
        <v>-5742.73</v>
      </c>
      <c r="Q59" s="101">
        <v>65615.539999999994</v>
      </c>
      <c r="R59" s="101">
        <v>31304</v>
      </c>
      <c r="S59" s="101">
        <v>45625</v>
      </c>
      <c r="T59" s="101">
        <v>1677066.05</v>
      </c>
      <c r="U59" s="101">
        <v>2633243.5500000012</v>
      </c>
      <c r="V59" s="101">
        <v>825992.52</v>
      </c>
      <c r="W59" s="101">
        <v>1896716.51</v>
      </c>
      <c r="X59" s="101">
        <v>696160.5</v>
      </c>
      <c r="Y59" s="101">
        <v>736527.04</v>
      </c>
      <c r="Z59" s="101">
        <v>675336</v>
      </c>
      <c r="AA59" s="101">
        <v>17604</v>
      </c>
      <c r="AB59" s="101">
        <v>0</v>
      </c>
      <c r="AC59" s="101">
        <v>0</v>
      </c>
      <c r="AD59" s="101">
        <v>0</v>
      </c>
      <c r="AE59" s="101">
        <v>43587.040000000001</v>
      </c>
      <c r="AF59" s="101">
        <v>115862.69</v>
      </c>
      <c r="AG59" s="101">
        <v>18896</v>
      </c>
      <c r="AH59" s="101">
        <v>26500</v>
      </c>
      <c r="AI59" s="101">
        <v>1034996.38</v>
      </c>
      <c r="AJ59" s="101">
        <v>1597828.63</v>
      </c>
      <c r="AK59" s="101">
        <v>487980.16</v>
      </c>
      <c r="AL59" s="101">
        <v>1164361.55</v>
      </c>
      <c r="AM59" s="101">
        <v>405589.61</v>
      </c>
      <c r="AN59" s="101">
        <v>433467.08</v>
      </c>
      <c r="AO59" s="101">
        <v>381681.81</v>
      </c>
      <c r="AP59" s="101">
        <v>10271.66</v>
      </c>
      <c r="AQ59" s="101">
        <v>0</v>
      </c>
      <c r="AR59" s="101">
        <v>0</v>
      </c>
      <c r="AS59" s="101">
        <v>0</v>
      </c>
      <c r="AT59" s="101">
        <v>41513.61</v>
      </c>
      <c r="AU59" s="101">
        <v>69663.22</v>
      </c>
    </row>
    <row r="60" spans="1:47">
      <c r="A60" s="102" t="s">
        <v>452</v>
      </c>
      <c r="B60" s="102" t="s">
        <v>124</v>
      </c>
      <c r="C60" s="101">
        <v>11138.22</v>
      </c>
      <c r="D60" s="101">
        <v>17596</v>
      </c>
      <c r="E60" s="101">
        <v>731099.08</v>
      </c>
      <c r="F60" s="101">
        <v>1334394</v>
      </c>
      <c r="G60" s="101">
        <v>541109.62</v>
      </c>
      <c r="H60" s="101">
        <v>889288.41</v>
      </c>
      <c r="I60" s="101">
        <v>405296.78</v>
      </c>
      <c r="J60" s="101">
        <v>445105.59</v>
      </c>
      <c r="K60" s="101">
        <v>235201.36</v>
      </c>
      <c r="L60" s="101">
        <v>5621</v>
      </c>
      <c r="M60" s="101">
        <v>0</v>
      </c>
      <c r="N60" s="101">
        <v>0</v>
      </c>
      <c r="O60" s="101">
        <v>0</v>
      </c>
      <c r="P60" s="101">
        <v>204283.23</v>
      </c>
      <c r="Q60" s="101">
        <v>58713.34</v>
      </c>
      <c r="R60" s="101">
        <v>19555.72</v>
      </c>
      <c r="S60" s="101">
        <v>30295</v>
      </c>
      <c r="T60" s="101">
        <v>1283495.19</v>
      </c>
      <c r="U60" s="101">
        <v>2326535.14</v>
      </c>
      <c r="V60" s="101">
        <v>933369.13</v>
      </c>
      <c r="W60" s="101">
        <v>1513151.9</v>
      </c>
      <c r="X60" s="101">
        <v>678379.81</v>
      </c>
      <c r="Y60" s="101">
        <v>813383.24</v>
      </c>
      <c r="Z60" s="101">
        <v>403174.36</v>
      </c>
      <c r="AA60" s="101">
        <v>9636</v>
      </c>
      <c r="AB60" s="101">
        <v>0</v>
      </c>
      <c r="AC60" s="101">
        <v>0</v>
      </c>
      <c r="AD60" s="101">
        <v>0</v>
      </c>
      <c r="AE60" s="101">
        <v>400572.88</v>
      </c>
      <c r="AF60" s="101">
        <v>102367.56</v>
      </c>
      <c r="AG60" s="101">
        <v>11725</v>
      </c>
      <c r="AH60" s="101">
        <v>17596</v>
      </c>
      <c r="AI60" s="101">
        <v>749333.29</v>
      </c>
      <c r="AJ60" s="101">
        <v>1361994.17</v>
      </c>
      <c r="AK60" s="101">
        <v>547770.21</v>
      </c>
      <c r="AL60" s="101">
        <v>897556.87</v>
      </c>
      <c r="AM60" s="101">
        <v>423731.9</v>
      </c>
      <c r="AN60" s="101">
        <v>464437.3</v>
      </c>
      <c r="AO60" s="101">
        <v>236149.9</v>
      </c>
      <c r="AP60" s="101">
        <v>5622.12</v>
      </c>
      <c r="AQ60" s="101">
        <v>0</v>
      </c>
      <c r="AR60" s="101">
        <v>0</v>
      </c>
      <c r="AS60" s="101">
        <v>0</v>
      </c>
      <c r="AT60" s="101">
        <v>222665.28</v>
      </c>
      <c r="AU60" s="101">
        <v>59281.599999999999</v>
      </c>
    </row>
    <row r="61" spans="1:47">
      <c r="A61" s="102" t="s">
        <v>464</v>
      </c>
      <c r="B61" s="102" t="s">
        <v>132</v>
      </c>
      <c r="C61" s="101">
        <v>17022.060000000001</v>
      </c>
      <c r="D61" s="101">
        <v>25228</v>
      </c>
      <c r="E61" s="101">
        <v>1367456.16</v>
      </c>
      <c r="F61" s="101">
        <v>2338749.62</v>
      </c>
      <c r="G61" s="101">
        <v>782703.2</v>
      </c>
      <c r="H61" s="101">
        <v>1368790.16</v>
      </c>
      <c r="I61" s="101">
        <v>574066.14</v>
      </c>
      <c r="J61" s="101">
        <v>969959.46</v>
      </c>
      <c r="K61" s="101">
        <v>499950.64</v>
      </c>
      <c r="L61" s="101">
        <v>13058.5</v>
      </c>
      <c r="M61" s="101">
        <v>0</v>
      </c>
      <c r="N61" s="101">
        <v>0</v>
      </c>
      <c r="O61" s="101">
        <v>0</v>
      </c>
      <c r="P61" s="101">
        <v>456950.32</v>
      </c>
      <c r="Q61" s="101">
        <v>102904.98</v>
      </c>
      <c r="R61" s="101">
        <v>29191.119999999999</v>
      </c>
      <c r="S61" s="101">
        <v>43435</v>
      </c>
      <c r="T61" s="101">
        <v>2323512.0699999998</v>
      </c>
      <c r="U61" s="101">
        <v>4008236.74</v>
      </c>
      <c r="V61" s="101">
        <v>1362620.34</v>
      </c>
      <c r="W61" s="101">
        <v>2364701.9700000002</v>
      </c>
      <c r="X61" s="101">
        <v>989644.59</v>
      </c>
      <c r="Y61" s="101">
        <v>1643534.77</v>
      </c>
      <c r="Z61" s="101">
        <v>857058.24</v>
      </c>
      <c r="AA61" s="101">
        <v>22386</v>
      </c>
      <c r="AB61" s="101">
        <v>0</v>
      </c>
      <c r="AC61" s="101">
        <v>0</v>
      </c>
      <c r="AD61" s="101">
        <v>0</v>
      </c>
      <c r="AE61" s="101">
        <v>764090.53</v>
      </c>
      <c r="AF61" s="101">
        <v>176362.41</v>
      </c>
      <c r="AG61" s="101">
        <v>16884</v>
      </c>
      <c r="AH61" s="101">
        <v>25228</v>
      </c>
      <c r="AI61" s="101">
        <v>1294538.8899999999</v>
      </c>
      <c r="AJ61" s="101">
        <v>2068421.11</v>
      </c>
      <c r="AK61" s="101">
        <v>648524.43000000005</v>
      </c>
      <c r="AL61" s="101">
        <v>1256901.22</v>
      </c>
      <c r="AM61" s="101">
        <v>538669.06000000006</v>
      </c>
      <c r="AN61" s="101">
        <v>811519.89</v>
      </c>
      <c r="AO61" s="101">
        <v>499718.02</v>
      </c>
      <c r="AP61" s="101">
        <v>13078.38</v>
      </c>
      <c r="AQ61" s="101">
        <v>0</v>
      </c>
      <c r="AR61" s="101">
        <v>0</v>
      </c>
      <c r="AS61" s="101">
        <v>0</v>
      </c>
      <c r="AT61" s="101">
        <v>298723.49</v>
      </c>
      <c r="AU61" s="101">
        <v>89932.92</v>
      </c>
    </row>
    <row r="62" spans="1:47">
      <c r="A62" s="102" t="s">
        <v>460</v>
      </c>
      <c r="B62" s="102" t="s">
        <v>130</v>
      </c>
      <c r="C62" s="101">
        <v>13381.54</v>
      </c>
      <c r="D62" s="101">
        <v>20776</v>
      </c>
      <c r="E62" s="101">
        <v>806905.71</v>
      </c>
      <c r="F62" s="101">
        <v>1369066.1</v>
      </c>
      <c r="G62" s="101">
        <v>491779.05</v>
      </c>
      <c r="H62" s="101">
        <v>1034829.13</v>
      </c>
      <c r="I62" s="101">
        <v>440359.02</v>
      </c>
      <c r="J62" s="101">
        <v>334236.96999999997</v>
      </c>
      <c r="K62" s="101">
        <v>256179.14</v>
      </c>
      <c r="L62" s="101">
        <v>8999.27</v>
      </c>
      <c r="M62" s="101">
        <v>0</v>
      </c>
      <c r="N62" s="101">
        <v>0</v>
      </c>
      <c r="O62" s="101">
        <v>0</v>
      </c>
      <c r="P62" s="101">
        <v>69058.559999999998</v>
      </c>
      <c r="Q62" s="101">
        <v>60238.91</v>
      </c>
      <c r="R62" s="101">
        <v>24199.09</v>
      </c>
      <c r="S62" s="101">
        <v>35770</v>
      </c>
      <c r="T62" s="101">
        <v>1437408.51</v>
      </c>
      <c r="U62" s="101">
        <v>2425804.83</v>
      </c>
      <c r="V62" s="101">
        <v>871062.47</v>
      </c>
      <c r="W62" s="101">
        <v>1815525.13</v>
      </c>
      <c r="X62" s="101">
        <v>771041.16</v>
      </c>
      <c r="Y62" s="101">
        <v>610279.69999999995</v>
      </c>
      <c r="Z62" s="101">
        <v>439164.24</v>
      </c>
      <c r="AA62" s="101">
        <v>15519.32</v>
      </c>
      <c r="AB62" s="101">
        <v>0</v>
      </c>
      <c r="AC62" s="101">
        <v>0</v>
      </c>
      <c r="AD62" s="101">
        <v>0</v>
      </c>
      <c r="AE62" s="101">
        <v>155596.14000000001</v>
      </c>
      <c r="AF62" s="101">
        <v>106735.42</v>
      </c>
      <c r="AG62" s="101">
        <v>7533</v>
      </c>
      <c r="AH62" s="101">
        <v>20776</v>
      </c>
      <c r="AI62" s="101">
        <v>485625.3</v>
      </c>
      <c r="AJ62" s="101">
        <v>1106942.26</v>
      </c>
      <c r="AK62" s="101">
        <v>299790.65999999997</v>
      </c>
      <c r="AL62" s="101">
        <v>798923.49</v>
      </c>
      <c r="AM62" s="101">
        <v>377393.72</v>
      </c>
      <c r="AN62" s="101">
        <v>308018.77</v>
      </c>
      <c r="AO62" s="101">
        <v>145290.25</v>
      </c>
      <c r="AP62" s="101">
        <v>8999.61</v>
      </c>
      <c r="AQ62" s="101">
        <v>0</v>
      </c>
      <c r="AR62" s="101">
        <v>0</v>
      </c>
      <c r="AS62" s="101">
        <v>0</v>
      </c>
      <c r="AT62" s="101">
        <v>153728.91</v>
      </c>
      <c r="AU62" s="101">
        <v>47904.63</v>
      </c>
    </row>
    <row r="63" spans="1:47">
      <c r="A63" s="102" t="s">
        <v>993</v>
      </c>
      <c r="B63" s="102" t="e">
        <v>#N/A</v>
      </c>
      <c r="C63" s="101">
        <v>59365.82</v>
      </c>
      <c r="D63" s="101">
        <v>90100</v>
      </c>
      <c r="E63" s="101">
        <v>3868434.8</v>
      </c>
      <c r="F63" s="101">
        <v>6533472.3499999996</v>
      </c>
      <c r="G63" s="101">
        <v>2271273.02</v>
      </c>
      <c r="H63" s="101">
        <v>4385698.0599999996</v>
      </c>
      <c r="I63" s="101">
        <v>1824386.57</v>
      </c>
      <c r="J63" s="101">
        <v>2147774.290000001</v>
      </c>
      <c r="K63" s="101">
        <v>1385277.14</v>
      </c>
      <c r="L63" s="101">
        <v>37947.769999999997</v>
      </c>
      <c r="M63" s="101">
        <v>0</v>
      </c>
      <c r="N63" s="101">
        <v>0</v>
      </c>
      <c r="O63" s="101">
        <v>0</v>
      </c>
      <c r="P63" s="101">
        <v>724549.38000000105</v>
      </c>
      <c r="Q63" s="101">
        <v>287472.77</v>
      </c>
      <c r="R63" s="101">
        <v>104249.93</v>
      </c>
      <c r="S63" s="101">
        <v>155125</v>
      </c>
      <c r="T63" s="101">
        <v>6721481.8200000012</v>
      </c>
      <c r="U63" s="101">
        <v>11393820.26</v>
      </c>
      <c r="V63" s="101">
        <v>3993044.46</v>
      </c>
      <c r="W63" s="101">
        <v>7590095.5100000016</v>
      </c>
      <c r="X63" s="101">
        <v>3135226.060000001</v>
      </c>
      <c r="Y63" s="101">
        <v>3803724.75</v>
      </c>
      <c r="Z63" s="101">
        <v>2374732.84</v>
      </c>
      <c r="AA63" s="101">
        <v>65145.32</v>
      </c>
      <c r="AB63" s="101">
        <v>0</v>
      </c>
      <c r="AC63" s="101">
        <v>0</v>
      </c>
      <c r="AD63" s="101">
        <v>0</v>
      </c>
      <c r="AE63" s="101">
        <v>1363846.59</v>
      </c>
      <c r="AF63" s="101">
        <v>501328.08</v>
      </c>
      <c r="AG63" s="101">
        <v>55038</v>
      </c>
      <c r="AH63" s="101">
        <v>90100</v>
      </c>
      <c r="AI63" s="101">
        <v>3564493.86</v>
      </c>
      <c r="AJ63" s="101">
        <v>6135186.1700000009</v>
      </c>
      <c r="AK63" s="101">
        <v>1984065.46</v>
      </c>
      <c r="AL63" s="101">
        <v>4117743.13</v>
      </c>
      <c r="AM63" s="101">
        <v>1745384.29</v>
      </c>
      <c r="AN63" s="101">
        <v>2017443.04</v>
      </c>
      <c r="AO63" s="101">
        <v>1262839.98</v>
      </c>
      <c r="AP63" s="101">
        <v>37971.769999999997</v>
      </c>
      <c r="AQ63" s="101">
        <v>0</v>
      </c>
      <c r="AR63" s="101">
        <v>0</v>
      </c>
      <c r="AS63" s="101">
        <v>0</v>
      </c>
      <c r="AT63" s="101">
        <v>716631.28999999899</v>
      </c>
      <c r="AU63" s="101">
        <v>266782.37</v>
      </c>
    </row>
    <row r="64" spans="1:47">
      <c r="A64" s="102" t="s">
        <v>405</v>
      </c>
      <c r="B64" s="102" t="s">
        <v>89</v>
      </c>
      <c r="C64" s="101">
        <v>11733</v>
      </c>
      <c r="D64" s="101">
        <v>15476</v>
      </c>
      <c r="E64" s="101">
        <v>908226.08</v>
      </c>
      <c r="F64" s="101">
        <v>1199821.8700000001</v>
      </c>
      <c r="G64" s="101">
        <v>202098.95</v>
      </c>
      <c r="H64" s="101">
        <v>723928.59</v>
      </c>
      <c r="I64" s="101">
        <v>379266.83</v>
      </c>
      <c r="J64" s="101">
        <v>475893.28</v>
      </c>
      <c r="K64" s="101">
        <v>455042.49</v>
      </c>
      <c r="L64" s="101">
        <v>8295</v>
      </c>
      <c r="M64" s="101">
        <v>0</v>
      </c>
      <c r="N64" s="101">
        <v>0</v>
      </c>
      <c r="O64" s="101">
        <v>0</v>
      </c>
      <c r="P64" s="101">
        <v>12555.79</v>
      </c>
      <c r="Q64" s="101">
        <v>52792.15</v>
      </c>
      <c r="R64" s="101">
        <v>22332</v>
      </c>
      <c r="S64" s="101">
        <v>26645</v>
      </c>
      <c r="T64" s="101">
        <v>1840962.26</v>
      </c>
      <c r="U64" s="101">
        <v>2382117.89</v>
      </c>
      <c r="V64" s="101">
        <v>371725.87</v>
      </c>
      <c r="W64" s="101">
        <v>1279129.6000000001</v>
      </c>
      <c r="X64" s="101">
        <v>654226.87</v>
      </c>
      <c r="Y64" s="101">
        <v>1102988.29</v>
      </c>
      <c r="Z64" s="101">
        <v>780076.84</v>
      </c>
      <c r="AA64" s="101">
        <v>14220</v>
      </c>
      <c r="AB64" s="101">
        <v>0</v>
      </c>
      <c r="AC64" s="101">
        <v>0</v>
      </c>
      <c r="AD64" s="101">
        <v>0</v>
      </c>
      <c r="AE64" s="101">
        <v>308691.45</v>
      </c>
      <c r="AF64" s="101">
        <v>104813.18</v>
      </c>
      <c r="AG64" s="101">
        <v>11292</v>
      </c>
      <c r="AH64" s="101">
        <v>15476</v>
      </c>
      <c r="AI64" s="101">
        <v>804942.67</v>
      </c>
      <c r="AJ64" s="101">
        <v>1005513.91</v>
      </c>
      <c r="AK64" s="101">
        <v>143520.57999999999</v>
      </c>
      <c r="AL64" s="101">
        <v>697365.45</v>
      </c>
      <c r="AM64" s="101">
        <v>386847.6</v>
      </c>
      <c r="AN64" s="101">
        <v>308148.46000000002</v>
      </c>
      <c r="AO64" s="101">
        <v>441397.5</v>
      </c>
      <c r="AP64" s="101">
        <v>8589.02</v>
      </c>
      <c r="AQ64" s="101">
        <v>0</v>
      </c>
      <c r="AR64" s="101">
        <v>0</v>
      </c>
      <c r="AS64" s="101">
        <v>0</v>
      </c>
      <c r="AT64" s="101">
        <v>-141838.06</v>
      </c>
      <c r="AU64" s="101">
        <v>43140.13</v>
      </c>
    </row>
    <row r="65" spans="1:47">
      <c r="A65" s="102" t="s">
        <v>409</v>
      </c>
      <c r="B65" s="102" t="s">
        <v>93</v>
      </c>
      <c r="C65" s="101">
        <v>16390</v>
      </c>
      <c r="D65" s="101">
        <v>24168</v>
      </c>
      <c r="E65" s="101">
        <v>1101771.1599999999</v>
      </c>
      <c r="F65" s="101">
        <v>1448190.24</v>
      </c>
      <c r="G65" s="101">
        <v>263762.58</v>
      </c>
      <c r="H65" s="101">
        <v>970822.61</v>
      </c>
      <c r="I65" s="101">
        <v>385469.37</v>
      </c>
      <c r="J65" s="101">
        <v>477367.63</v>
      </c>
      <c r="K65" s="101">
        <v>703157</v>
      </c>
      <c r="L65" s="101">
        <v>3955</v>
      </c>
      <c r="M65" s="101">
        <v>0</v>
      </c>
      <c r="N65" s="101">
        <v>0</v>
      </c>
      <c r="O65" s="101">
        <v>0</v>
      </c>
      <c r="P65" s="101">
        <v>-229744.37</v>
      </c>
      <c r="Q65" s="101">
        <v>63720.37</v>
      </c>
      <c r="R65" s="101">
        <v>31806</v>
      </c>
      <c r="S65" s="101">
        <v>41610</v>
      </c>
      <c r="T65" s="101">
        <v>2195828.5</v>
      </c>
      <c r="U65" s="101">
        <v>2852597.89</v>
      </c>
      <c r="V65" s="101">
        <v>496725.6</v>
      </c>
      <c r="W65" s="101">
        <v>1729797.79</v>
      </c>
      <c r="X65" s="101">
        <v>668522.81000000006</v>
      </c>
      <c r="Y65" s="101">
        <v>1122800.1000000001</v>
      </c>
      <c r="Z65" s="101">
        <v>1205410</v>
      </c>
      <c r="AA65" s="101">
        <v>6780</v>
      </c>
      <c r="AB65" s="101">
        <v>0</v>
      </c>
      <c r="AC65" s="101">
        <v>0</v>
      </c>
      <c r="AD65" s="101">
        <v>0</v>
      </c>
      <c r="AE65" s="101">
        <v>-89389.9</v>
      </c>
      <c r="AF65" s="101">
        <v>125514.31</v>
      </c>
      <c r="AG65" s="101">
        <v>17003</v>
      </c>
      <c r="AH65" s="101">
        <v>24168</v>
      </c>
      <c r="AI65" s="101">
        <v>1051060.3700000001</v>
      </c>
      <c r="AJ65" s="101">
        <v>1381576.73</v>
      </c>
      <c r="AK65" s="101">
        <v>262542.33</v>
      </c>
      <c r="AL65" s="101">
        <v>962084.39</v>
      </c>
      <c r="AM65" s="101">
        <v>369677.8</v>
      </c>
      <c r="AN65" s="101">
        <v>419492.34</v>
      </c>
      <c r="AO65" s="101">
        <v>704735.15</v>
      </c>
      <c r="AP65" s="101">
        <v>3962.88</v>
      </c>
      <c r="AQ65" s="101">
        <v>0</v>
      </c>
      <c r="AR65" s="101">
        <v>0</v>
      </c>
      <c r="AS65" s="101">
        <v>0</v>
      </c>
      <c r="AT65" s="101">
        <v>-289205.69</v>
      </c>
      <c r="AU65" s="101">
        <v>60295.19</v>
      </c>
    </row>
    <row r="66" spans="1:47">
      <c r="A66" s="102" t="s">
        <v>431</v>
      </c>
      <c r="B66" s="102" t="s">
        <v>109</v>
      </c>
      <c r="C66" s="101">
        <v>90664</v>
      </c>
      <c r="D66" s="101">
        <v>105788</v>
      </c>
      <c r="E66" s="101">
        <v>7707329.7000000011</v>
      </c>
      <c r="F66" s="101">
        <v>11748771.84</v>
      </c>
      <c r="G66" s="101">
        <v>3102646.5300000012</v>
      </c>
      <c r="H66" s="101">
        <v>5997044.8600000022</v>
      </c>
      <c r="I66" s="101">
        <v>2128246.77</v>
      </c>
      <c r="J66" s="101">
        <v>5751726.9800000004</v>
      </c>
      <c r="K66" s="101">
        <v>4295822.16</v>
      </c>
      <c r="L66" s="101">
        <v>0</v>
      </c>
      <c r="M66" s="101">
        <v>0</v>
      </c>
      <c r="N66" s="101">
        <v>0</v>
      </c>
      <c r="O66" s="101">
        <v>0</v>
      </c>
      <c r="P66" s="101">
        <v>1455904.82</v>
      </c>
      <c r="Q66" s="101">
        <v>516945.97</v>
      </c>
      <c r="R66" s="101">
        <v>156641</v>
      </c>
      <c r="S66" s="101">
        <v>182135</v>
      </c>
      <c r="T66" s="101">
        <v>13894984.16</v>
      </c>
      <c r="U66" s="101">
        <v>21081913.949999999</v>
      </c>
      <c r="V66" s="101">
        <v>5522436.8600000013</v>
      </c>
      <c r="W66" s="101">
        <v>10485075.07</v>
      </c>
      <c r="X66" s="101">
        <v>3710704.84</v>
      </c>
      <c r="Y66" s="101">
        <v>10596838.880000001</v>
      </c>
      <c r="Z66" s="101">
        <v>7714875.8099999996</v>
      </c>
      <c r="AA66" s="101">
        <v>0</v>
      </c>
      <c r="AB66" s="101">
        <v>0</v>
      </c>
      <c r="AC66" s="101">
        <v>0</v>
      </c>
      <c r="AD66" s="101">
        <v>0</v>
      </c>
      <c r="AE66" s="101">
        <v>2881963.07</v>
      </c>
      <c r="AF66" s="101">
        <v>927604.23</v>
      </c>
      <c r="AG66" s="101">
        <v>89863</v>
      </c>
      <c r="AH66" s="101">
        <v>105788</v>
      </c>
      <c r="AI66" s="101">
        <v>7662059.580000001</v>
      </c>
      <c r="AJ66" s="101">
        <v>11551222.289999999</v>
      </c>
      <c r="AK66" s="101">
        <v>2972088.15</v>
      </c>
      <c r="AL66" s="101">
        <v>5936449.5000000019</v>
      </c>
      <c r="AM66" s="101">
        <v>2094651.66</v>
      </c>
      <c r="AN66" s="101">
        <v>5614772.790000001</v>
      </c>
      <c r="AO66" s="101">
        <v>4206534.93</v>
      </c>
      <c r="AP66" s="101">
        <v>0</v>
      </c>
      <c r="AQ66" s="101">
        <v>0</v>
      </c>
      <c r="AR66" s="101">
        <v>0</v>
      </c>
      <c r="AS66" s="101">
        <v>0</v>
      </c>
      <c r="AT66" s="101">
        <v>1408237.86</v>
      </c>
      <c r="AU66" s="101">
        <v>503647.16</v>
      </c>
    </row>
    <row r="67" spans="1:47">
      <c r="A67" s="102" t="s">
        <v>408</v>
      </c>
      <c r="B67" s="102" t="s">
        <v>92</v>
      </c>
      <c r="C67" s="101">
        <v>16987</v>
      </c>
      <c r="D67" s="101">
        <v>22260</v>
      </c>
      <c r="E67" s="101">
        <v>1405846.57</v>
      </c>
      <c r="F67" s="101">
        <v>1814978.57</v>
      </c>
      <c r="G67" s="101">
        <v>278757.07</v>
      </c>
      <c r="H67" s="101">
        <v>1013255.83</v>
      </c>
      <c r="I67" s="101">
        <v>384323.88</v>
      </c>
      <c r="J67" s="101">
        <v>801722.74</v>
      </c>
      <c r="K67" s="101">
        <v>578512.97</v>
      </c>
      <c r="L67" s="101">
        <v>9380</v>
      </c>
      <c r="M67" s="101">
        <v>0</v>
      </c>
      <c r="N67" s="101">
        <v>0</v>
      </c>
      <c r="O67" s="101">
        <v>0</v>
      </c>
      <c r="P67" s="101">
        <v>213829.77</v>
      </c>
      <c r="Q67" s="101">
        <v>79859.070000000007</v>
      </c>
      <c r="R67" s="101">
        <v>31395</v>
      </c>
      <c r="S67" s="101">
        <v>38325</v>
      </c>
      <c r="T67" s="101">
        <v>2727413.55</v>
      </c>
      <c r="U67" s="101">
        <v>3481955.67</v>
      </c>
      <c r="V67" s="101">
        <v>519680.74</v>
      </c>
      <c r="W67" s="101">
        <v>1788123.17</v>
      </c>
      <c r="X67" s="101">
        <v>658519.93000000005</v>
      </c>
      <c r="Y67" s="101">
        <v>1693832.5</v>
      </c>
      <c r="Z67" s="101">
        <v>991734.52</v>
      </c>
      <c r="AA67" s="101">
        <v>16080</v>
      </c>
      <c r="AB67" s="101">
        <v>0</v>
      </c>
      <c r="AC67" s="101">
        <v>0</v>
      </c>
      <c r="AD67" s="101">
        <v>0</v>
      </c>
      <c r="AE67" s="101">
        <v>686017.98</v>
      </c>
      <c r="AF67" s="101">
        <v>153206.06</v>
      </c>
      <c r="AG67" s="101">
        <v>17586</v>
      </c>
      <c r="AH67" s="101">
        <v>22260</v>
      </c>
      <c r="AI67" s="101">
        <v>1319874</v>
      </c>
      <c r="AJ67" s="101">
        <v>1674879.39</v>
      </c>
      <c r="AK67" s="101">
        <v>251186.03</v>
      </c>
      <c r="AL67" s="101">
        <v>986526.58</v>
      </c>
      <c r="AM67" s="101">
        <v>364320.31</v>
      </c>
      <c r="AN67" s="101">
        <v>688352.81</v>
      </c>
      <c r="AO67" s="101">
        <v>573362.93000000005</v>
      </c>
      <c r="AP67" s="101">
        <v>9361</v>
      </c>
      <c r="AQ67" s="101">
        <v>0</v>
      </c>
      <c r="AR67" s="101">
        <v>0</v>
      </c>
      <c r="AS67" s="101">
        <v>0</v>
      </c>
      <c r="AT67" s="101">
        <v>105628.88</v>
      </c>
      <c r="AU67" s="101">
        <v>71917.55</v>
      </c>
    </row>
    <row r="68" spans="1:47">
      <c r="A68" s="102" t="s">
        <v>423</v>
      </c>
      <c r="B68" s="102" t="s">
        <v>103</v>
      </c>
      <c r="C68" s="101">
        <v>37196</v>
      </c>
      <c r="D68" s="101">
        <v>53424</v>
      </c>
      <c r="E68" s="101">
        <v>2314423.48</v>
      </c>
      <c r="F68" s="101">
        <v>3990735.370000001</v>
      </c>
      <c r="G68" s="101">
        <v>1338650.04</v>
      </c>
      <c r="H68" s="101">
        <v>2687336.13</v>
      </c>
      <c r="I68" s="101">
        <v>1207716.3999999999</v>
      </c>
      <c r="J68" s="101">
        <v>1303399.24</v>
      </c>
      <c r="K68" s="101">
        <v>1465264.68</v>
      </c>
      <c r="L68" s="101">
        <v>13860</v>
      </c>
      <c r="M68" s="101">
        <v>0</v>
      </c>
      <c r="N68" s="101">
        <v>0</v>
      </c>
      <c r="O68" s="101">
        <v>0</v>
      </c>
      <c r="P68" s="101">
        <v>-175725.44</v>
      </c>
      <c r="Q68" s="101">
        <v>175592.35</v>
      </c>
      <c r="R68" s="101">
        <v>68969</v>
      </c>
      <c r="S68" s="101">
        <v>91980</v>
      </c>
      <c r="T68" s="101">
        <v>4739396.790000001</v>
      </c>
      <c r="U68" s="101">
        <v>7696317.290000001</v>
      </c>
      <c r="V68" s="101">
        <v>2367956.5499999998</v>
      </c>
      <c r="W68" s="101">
        <v>4767937.4100000011</v>
      </c>
      <c r="X68" s="101">
        <v>2101528.42</v>
      </c>
      <c r="Y68" s="101">
        <v>2928379.879999999</v>
      </c>
      <c r="Z68" s="101">
        <v>2514502.0099999998</v>
      </c>
      <c r="AA68" s="101">
        <v>23760</v>
      </c>
      <c r="AB68" s="101">
        <v>0</v>
      </c>
      <c r="AC68" s="101">
        <v>0</v>
      </c>
      <c r="AD68" s="101">
        <v>0</v>
      </c>
      <c r="AE68" s="101">
        <v>390117.86999999901</v>
      </c>
      <c r="AF68" s="101">
        <v>338637.96</v>
      </c>
      <c r="AG68" s="101">
        <v>35941</v>
      </c>
      <c r="AH68" s="101">
        <v>53424</v>
      </c>
      <c r="AI68" s="101">
        <v>2346695.7999999998</v>
      </c>
      <c r="AJ68" s="101">
        <v>3912576.2499999991</v>
      </c>
      <c r="AK68" s="101">
        <v>1297925.1499999999</v>
      </c>
      <c r="AL68" s="101">
        <v>2595176.080000001</v>
      </c>
      <c r="AM68" s="101">
        <v>1147893.3799999999</v>
      </c>
      <c r="AN68" s="101">
        <v>1317400.17</v>
      </c>
      <c r="AO68" s="101">
        <v>1473745.53</v>
      </c>
      <c r="AP68" s="101">
        <v>14441.48</v>
      </c>
      <c r="AQ68" s="101">
        <v>0</v>
      </c>
      <c r="AR68" s="101">
        <v>0</v>
      </c>
      <c r="AS68" s="101">
        <v>0</v>
      </c>
      <c r="AT68" s="101">
        <v>-170786.84</v>
      </c>
      <c r="AU68" s="101">
        <v>171774.56</v>
      </c>
    </row>
    <row r="69" spans="1:47">
      <c r="A69" s="102" t="s">
        <v>994</v>
      </c>
      <c r="B69" s="102" t="e">
        <v>#N/A</v>
      </c>
      <c r="C69" s="101">
        <v>172970</v>
      </c>
      <c r="D69" s="101">
        <v>221116</v>
      </c>
      <c r="E69" s="101">
        <v>13437596.99</v>
      </c>
      <c r="F69" s="101">
        <v>20202497.889999997</v>
      </c>
      <c r="G69" s="101">
        <v>5185915.17</v>
      </c>
      <c r="H69" s="101">
        <v>11392388.020000003</v>
      </c>
      <c r="I69" s="101">
        <v>4485023.2500000009</v>
      </c>
      <c r="J69" s="101">
        <v>8810109.8699999992</v>
      </c>
      <c r="K69" s="101">
        <v>7497799.2999999998</v>
      </c>
      <c r="L69" s="101">
        <v>35490</v>
      </c>
      <c r="M69" s="101">
        <v>0</v>
      </c>
      <c r="N69" s="101">
        <v>0</v>
      </c>
      <c r="O69" s="101">
        <v>0</v>
      </c>
      <c r="P69" s="101">
        <v>1276820.5700000019</v>
      </c>
      <c r="Q69" s="101">
        <v>888909.91</v>
      </c>
      <c r="R69" s="101">
        <v>311143</v>
      </c>
      <c r="S69" s="101">
        <v>380695</v>
      </c>
      <c r="T69" s="101">
        <v>25398585.260000005</v>
      </c>
      <c r="U69" s="101">
        <v>37494902.690000005</v>
      </c>
      <c r="V69" s="101">
        <v>9278525.6199999992</v>
      </c>
      <c r="W69" s="101">
        <v>20050063.040000003</v>
      </c>
      <c r="X69" s="101">
        <v>7793502.870000002</v>
      </c>
      <c r="Y69" s="101">
        <v>17444839.649999987</v>
      </c>
      <c r="Z69" s="101">
        <v>13206599.18</v>
      </c>
      <c r="AA69" s="101">
        <v>60840</v>
      </c>
      <c r="AB69" s="101">
        <v>0</v>
      </c>
      <c r="AC69" s="101">
        <v>0</v>
      </c>
      <c r="AD69" s="101">
        <v>0</v>
      </c>
      <c r="AE69" s="101">
        <v>4177400.4699999932</v>
      </c>
      <c r="AF69" s="101">
        <v>1649775.74</v>
      </c>
      <c r="AG69" s="101">
        <v>171685</v>
      </c>
      <c r="AH69" s="101">
        <v>221116</v>
      </c>
      <c r="AI69" s="101">
        <v>13184632.42</v>
      </c>
      <c r="AJ69" s="101">
        <v>19525768.57</v>
      </c>
      <c r="AK69" s="101">
        <v>4927262.2400000012</v>
      </c>
      <c r="AL69" s="101">
        <v>11177602</v>
      </c>
      <c r="AM69" s="101">
        <v>4363390.75</v>
      </c>
      <c r="AN69" s="101">
        <v>8348166.5699999956</v>
      </c>
      <c r="AO69" s="101">
        <v>7399776.040000001</v>
      </c>
      <c r="AP69" s="101">
        <v>36354.379999999997</v>
      </c>
      <c r="AQ69" s="101">
        <v>0</v>
      </c>
      <c r="AR69" s="101">
        <v>0</v>
      </c>
      <c r="AS69" s="101">
        <v>0</v>
      </c>
      <c r="AT69" s="101">
        <v>912036.15</v>
      </c>
      <c r="AU69" s="101">
        <v>850774.59</v>
      </c>
    </row>
    <row r="70" spans="1:47">
      <c r="A70" s="102" t="s">
        <v>440</v>
      </c>
      <c r="B70" s="102" t="s">
        <v>116</v>
      </c>
      <c r="C70" s="101">
        <v>22672</v>
      </c>
      <c r="D70" s="101">
        <v>29680</v>
      </c>
      <c r="E70" s="101">
        <v>1684116.27</v>
      </c>
      <c r="F70" s="101">
        <v>2457010.54</v>
      </c>
      <c r="G70" s="101">
        <v>541350.91</v>
      </c>
      <c r="H70" s="101">
        <v>1413554.55</v>
      </c>
      <c r="I70" s="101">
        <v>544331.15</v>
      </c>
      <c r="J70" s="101">
        <v>1043455.99</v>
      </c>
      <c r="K70" s="101">
        <v>836747.1</v>
      </c>
      <c r="L70" s="101">
        <v>0</v>
      </c>
      <c r="M70" s="101">
        <v>0</v>
      </c>
      <c r="N70" s="101">
        <v>0</v>
      </c>
      <c r="O70" s="101">
        <v>0</v>
      </c>
      <c r="P70" s="101">
        <v>206708.89</v>
      </c>
      <c r="Q70" s="101">
        <v>108108.46</v>
      </c>
      <c r="R70" s="101">
        <v>41137</v>
      </c>
      <c r="S70" s="101">
        <v>51100</v>
      </c>
      <c r="T70" s="101">
        <v>3429742.47</v>
      </c>
      <c r="U70" s="101">
        <v>4798068.93</v>
      </c>
      <c r="V70" s="101">
        <v>970425.04</v>
      </c>
      <c r="W70" s="101">
        <v>2522062.25</v>
      </c>
      <c r="X70" s="101">
        <v>954462.61</v>
      </c>
      <c r="Y70" s="101">
        <v>2276006.6800000002</v>
      </c>
      <c r="Z70" s="101">
        <v>1439056.2</v>
      </c>
      <c r="AA70" s="101">
        <v>0</v>
      </c>
      <c r="AB70" s="101">
        <v>0</v>
      </c>
      <c r="AC70" s="101">
        <v>0</v>
      </c>
      <c r="AD70" s="101">
        <v>0</v>
      </c>
      <c r="AE70" s="101">
        <v>836950.48</v>
      </c>
      <c r="AF70" s="101">
        <v>211115.03</v>
      </c>
      <c r="AG70" s="101">
        <v>23107</v>
      </c>
      <c r="AH70" s="101">
        <v>29680</v>
      </c>
      <c r="AI70" s="101">
        <v>1730839.85</v>
      </c>
      <c r="AJ70" s="101">
        <v>2409398.56</v>
      </c>
      <c r="AK70" s="101">
        <v>486945.94</v>
      </c>
      <c r="AL70" s="101">
        <v>1434532.98</v>
      </c>
      <c r="AM70" s="101">
        <v>567436.25</v>
      </c>
      <c r="AN70" s="101">
        <v>974865.58</v>
      </c>
      <c r="AO70" s="101">
        <v>836027.25</v>
      </c>
      <c r="AP70" s="101">
        <v>0</v>
      </c>
      <c r="AQ70" s="101">
        <v>0</v>
      </c>
      <c r="AR70" s="101">
        <v>0</v>
      </c>
      <c r="AS70" s="101">
        <v>0</v>
      </c>
      <c r="AT70" s="101">
        <v>138838.32999999999</v>
      </c>
      <c r="AU70" s="101">
        <v>103360.78</v>
      </c>
    </row>
    <row r="71" spans="1:47">
      <c r="A71" s="102" t="s">
        <v>995</v>
      </c>
      <c r="B71" s="102" t="e">
        <v>#N/A</v>
      </c>
      <c r="C71" s="101">
        <v>195642</v>
      </c>
      <c r="D71" s="101">
        <v>250796</v>
      </c>
      <c r="E71" s="101">
        <v>15121713.26</v>
      </c>
      <c r="F71" s="101">
        <v>22659508.43</v>
      </c>
      <c r="G71" s="101">
        <v>5727266.080000001</v>
      </c>
      <c r="H71" s="101">
        <v>12805942.569999998</v>
      </c>
      <c r="I71" s="101">
        <v>5029354.4000000004</v>
      </c>
      <c r="J71" s="101">
        <v>9853565.8599999994</v>
      </c>
      <c r="K71" s="101">
        <v>8334546.4000000013</v>
      </c>
      <c r="L71" s="101">
        <v>35490</v>
      </c>
      <c r="M71" s="101">
        <v>0</v>
      </c>
      <c r="N71" s="101">
        <v>0</v>
      </c>
      <c r="O71" s="101">
        <v>0</v>
      </c>
      <c r="P71" s="101">
        <v>1483529.4599999969</v>
      </c>
      <c r="Q71" s="101">
        <v>997018.37</v>
      </c>
      <c r="R71" s="101">
        <v>352280</v>
      </c>
      <c r="S71" s="101">
        <v>431795</v>
      </c>
      <c r="T71" s="101">
        <v>28828327.73</v>
      </c>
      <c r="U71" s="101">
        <v>42292971.620000005</v>
      </c>
      <c r="V71" s="101">
        <v>10248950.66</v>
      </c>
      <c r="W71" s="101">
        <v>22572125.290000003</v>
      </c>
      <c r="X71" s="101">
        <v>8747965.4800000004</v>
      </c>
      <c r="Y71" s="101">
        <v>19720846.329999994</v>
      </c>
      <c r="Z71" s="101">
        <v>14645655.380000003</v>
      </c>
      <c r="AA71" s="101">
        <v>60840</v>
      </c>
      <c r="AB71" s="101">
        <v>0</v>
      </c>
      <c r="AC71" s="101">
        <v>0</v>
      </c>
      <c r="AD71" s="101">
        <v>0</v>
      </c>
      <c r="AE71" s="101">
        <v>5014350.9499999965</v>
      </c>
      <c r="AF71" s="101">
        <v>1860890.77</v>
      </c>
      <c r="AG71" s="101">
        <v>194792</v>
      </c>
      <c r="AH71" s="101">
        <v>250796</v>
      </c>
      <c r="AI71" s="101">
        <v>14915472.27</v>
      </c>
      <c r="AJ71" s="101">
        <v>21935167.129999999</v>
      </c>
      <c r="AK71" s="101">
        <v>5414208.1799999997</v>
      </c>
      <c r="AL71" s="101">
        <v>12612134.98</v>
      </c>
      <c r="AM71" s="101">
        <v>4930827</v>
      </c>
      <c r="AN71" s="101">
        <v>9323032.1499999985</v>
      </c>
      <c r="AO71" s="101">
        <v>8235803.290000001</v>
      </c>
      <c r="AP71" s="101">
        <v>36354.379999999997</v>
      </c>
      <c r="AQ71" s="101">
        <v>0</v>
      </c>
      <c r="AR71" s="101">
        <v>0</v>
      </c>
      <c r="AS71" s="101">
        <v>0</v>
      </c>
      <c r="AT71" s="101">
        <v>1050874.4800000021</v>
      </c>
      <c r="AU71" s="101">
        <v>954135.37</v>
      </c>
    </row>
    <row r="72" spans="1:47">
      <c r="A72" s="102" t="s">
        <v>420</v>
      </c>
      <c r="B72" s="102" t="s">
        <v>100</v>
      </c>
      <c r="C72" s="101">
        <v>30542.18</v>
      </c>
      <c r="D72" s="101">
        <v>47064</v>
      </c>
      <c r="E72" s="101">
        <v>2298369.2999999998</v>
      </c>
      <c r="F72" s="101">
        <v>4027453.23</v>
      </c>
      <c r="G72" s="101">
        <v>1347081.77</v>
      </c>
      <c r="H72" s="101">
        <v>2164395.5299999998</v>
      </c>
      <c r="I72" s="101">
        <v>631592.28</v>
      </c>
      <c r="J72" s="101">
        <v>1863057.7</v>
      </c>
      <c r="K72" s="101">
        <v>1414132.65</v>
      </c>
      <c r="L72" s="101">
        <v>20234.62</v>
      </c>
      <c r="M72" s="101">
        <v>0</v>
      </c>
      <c r="N72" s="101">
        <v>0</v>
      </c>
      <c r="O72" s="101">
        <v>0</v>
      </c>
      <c r="P72" s="101">
        <v>428690.43</v>
      </c>
      <c r="Q72" s="101">
        <v>177207.94</v>
      </c>
      <c r="R72" s="101">
        <v>52671.33</v>
      </c>
      <c r="S72" s="101">
        <v>81030</v>
      </c>
      <c r="T72" s="101">
        <v>4301125.75</v>
      </c>
      <c r="U72" s="101">
        <v>7290051.5599999996</v>
      </c>
      <c r="V72" s="101">
        <v>2330936.0499999998</v>
      </c>
      <c r="W72" s="101">
        <v>3703498.27</v>
      </c>
      <c r="X72" s="101">
        <v>1072281.25</v>
      </c>
      <c r="Y72" s="101">
        <v>3586553.29</v>
      </c>
      <c r="Z72" s="101">
        <v>2424227.4</v>
      </c>
      <c r="AA72" s="101">
        <v>34687.919999999998</v>
      </c>
      <c r="AB72" s="101">
        <v>0</v>
      </c>
      <c r="AC72" s="101">
        <v>0</v>
      </c>
      <c r="AD72" s="101">
        <v>0</v>
      </c>
      <c r="AE72" s="101">
        <v>1127637.97</v>
      </c>
      <c r="AF72" s="101">
        <v>320762.25</v>
      </c>
      <c r="AG72" s="101">
        <v>34445</v>
      </c>
      <c r="AH72" s="101">
        <v>47064</v>
      </c>
      <c r="AI72" s="101">
        <v>2254024.58</v>
      </c>
      <c r="AJ72" s="101">
        <v>3748476.71</v>
      </c>
      <c r="AK72" s="101">
        <v>1170971.43</v>
      </c>
      <c r="AL72" s="101">
        <v>2197930.98</v>
      </c>
      <c r="AM72" s="101">
        <v>609394.62</v>
      </c>
      <c r="AN72" s="101">
        <v>1550545.7300000009</v>
      </c>
      <c r="AO72" s="101">
        <v>1566118.54</v>
      </c>
      <c r="AP72" s="101">
        <v>20234.62</v>
      </c>
      <c r="AQ72" s="101">
        <v>0</v>
      </c>
      <c r="AR72" s="101">
        <v>0</v>
      </c>
      <c r="AS72" s="101">
        <v>0</v>
      </c>
      <c r="AT72" s="101">
        <v>-35807.43</v>
      </c>
      <c r="AU72" s="101">
        <v>162958.10999999999</v>
      </c>
    </row>
    <row r="73" spans="1:47">
      <c r="A73" s="102" t="s">
        <v>429</v>
      </c>
      <c r="B73" s="102" t="s">
        <v>107</v>
      </c>
      <c r="C73" s="101">
        <v>44284</v>
      </c>
      <c r="D73" s="101">
        <v>50032</v>
      </c>
      <c r="E73" s="101">
        <v>2742252.91</v>
      </c>
      <c r="F73" s="101">
        <v>4065080.1900000009</v>
      </c>
      <c r="G73" s="101">
        <v>1028136.96</v>
      </c>
      <c r="H73" s="101">
        <v>2328211.2400000002</v>
      </c>
      <c r="I73" s="101">
        <v>649941.73</v>
      </c>
      <c r="J73" s="101">
        <v>1736868.95</v>
      </c>
      <c r="K73" s="101">
        <v>1228398.1499999999</v>
      </c>
      <c r="L73" s="101">
        <v>0</v>
      </c>
      <c r="M73" s="101">
        <v>0</v>
      </c>
      <c r="N73" s="101">
        <v>0</v>
      </c>
      <c r="O73" s="101">
        <v>0</v>
      </c>
      <c r="P73" s="101">
        <v>508470.8</v>
      </c>
      <c r="Q73" s="101">
        <v>178863.53</v>
      </c>
      <c r="R73" s="101">
        <v>76811</v>
      </c>
      <c r="S73" s="101">
        <v>86140</v>
      </c>
      <c r="T73" s="101">
        <v>5055647.6900000013</v>
      </c>
      <c r="U73" s="101">
        <v>7441074.4300000006</v>
      </c>
      <c r="V73" s="101">
        <v>1840245.94</v>
      </c>
      <c r="W73" s="101">
        <v>4015672.7500000009</v>
      </c>
      <c r="X73" s="101">
        <v>1110462.0900000001</v>
      </c>
      <c r="Y73" s="101">
        <v>3425401.68</v>
      </c>
      <c r="Z73" s="101">
        <v>2238087.73</v>
      </c>
      <c r="AA73" s="101">
        <v>0</v>
      </c>
      <c r="AB73" s="101">
        <v>0</v>
      </c>
      <c r="AC73" s="101">
        <v>0</v>
      </c>
      <c r="AD73" s="101">
        <v>0</v>
      </c>
      <c r="AE73" s="101">
        <v>1187313.95</v>
      </c>
      <c r="AF73" s="101">
        <v>327407.28000000003</v>
      </c>
      <c r="AG73" s="101">
        <v>44231</v>
      </c>
      <c r="AH73" s="101">
        <v>50032</v>
      </c>
      <c r="AI73" s="101">
        <v>2631194.33</v>
      </c>
      <c r="AJ73" s="101">
        <v>3997809.41</v>
      </c>
      <c r="AK73" s="101">
        <v>973752.09</v>
      </c>
      <c r="AL73" s="101">
        <v>2450747.5699999998</v>
      </c>
      <c r="AM73" s="101">
        <v>682175.97</v>
      </c>
      <c r="AN73" s="101">
        <v>1547061.84</v>
      </c>
      <c r="AO73" s="101">
        <v>1209562.31</v>
      </c>
      <c r="AP73" s="101">
        <v>0</v>
      </c>
      <c r="AQ73" s="101">
        <v>0</v>
      </c>
      <c r="AR73" s="101">
        <v>0</v>
      </c>
      <c r="AS73" s="101">
        <v>0</v>
      </c>
      <c r="AT73" s="101">
        <v>337499.53</v>
      </c>
      <c r="AU73" s="101">
        <v>174210.74</v>
      </c>
    </row>
    <row r="74" spans="1:47">
      <c r="A74" s="102" t="s">
        <v>402</v>
      </c>
      <c r="B74" s="102" t="s">
        <v>88</v>
      </c>
      <c r="C74" s="101">
        <v>31779.47</v>
      </c>
      <c r="D74" s="101">
        <v>36676</v>
      </c>
      <c r="E74" s="101">
        <v>3328725.02</v>
      </c>
      <c r="F74" s="101">
        <v>4128470.99</v>
      </c>
      <c r="G74" s="101">
        <v>546490.28</v>
      </c>
      <c r="H74" s="101">
        <v>1661638.23</v>
      </c>
      <c r="I74" s="101">
        <v>424712.09</v>
      </c>
      <c r="J74" s="101">
        <v>2466832.7600000012</v>
      </c>
      <c r="K74" s="101">
        <v>855634.22</v>
      </c>
      <c r="L74" s="101">
        <v>28644</v>
      </c>
      <c r="M74" s="101">
        <v>0</v>
      </c>
      <c r="N74" s="101">
        <v>0</v>
      </c>
      <c r="O74" s="101">
        <v>0</v>
      </c>
      <c r="P74" s="101">
        <v>1582554.540000001</v>
      </c>
      <c r="Q74" s="101">
        <v>181652.72</v>
      </c>
      <c r="R74" s="101">
        <v>55069.8</v>
      </c>
      <c r="S74" s="101">
        <v>63145</v>
      </c>
      <c r="T74" s="101">
        <v>6344824.5899999999</v>
      </c>
      <c r="U74" s="101">
        <v>7773748.1900000013</v>
      </c>
      <c r="V74" s="101">
        <v>967528.27</v>
      </c>
      <c r="W74" s="101">
        <v>2927029.58</v>
      </c>
      <c r="X74" s="101">
        <v>735166.42</v>
      </c>
      <c r="Y74" s="101">
        <v>4846718.6100000013</v>
      </c>
      <c r="Z74" s="101">
        <v>1466801.52</v>
      </c>
      <c r="AA74" s="101">
        <v>49104</v>
      </c>
      <c r="AB74" s="101">
        <v>0</v>
      </c>
      <c r="AC74" s="101">
        <v>0</v>
      </c>
      <c r="AD74" s="101">
        <v>0</v>
      </c>
      <c r="AE74" s="101">
        <v>3330813.0899999989</v>
      </c>
      <c r="AF74" s="101">
        <v>342044.91</v>
      </c>
      <c r="AG74" s="101">
        <v>30959</v>
      </c>
      <c r="AH74" s="101">
        <v>36676</v>
      </c>
      <c r="AI74" s="101">
        <v>3111406.04</v>
      </c>
      <c r="AJ74" s="101">
        <v>3822445.92</v>
      </c>
      <c r="AK74" s="101">
        <v>520618.42</v>
      </c>
      <c r="AL74" s="101">
        <v>1627754.48</v>
      </c>
      <c r="AM74" s="101">
        <v>434512.91</v>
      </c>
      <c r="AN74" s="101">
        <v>2194691.439999999</v>
      </c>
      <c r="AO74" s="101">
        <v>854692.44</v>
      </c>
      <c r="AP74" s="101">
        <v>28565.25</v>
      </c>
      <c r="AQ74" s="101">
        <v>0</v>
      </c>
      <c r="AR74" s="101">
        <v>0</v>
      </c>
      <c r="AS74" s="101">
        <v>0</v>
      </c>
      <c r="AT74" s="101">
        <v>1311433.7500000009</v>
      </c>
      <c r="AU74" s="101">
        <v>165148.32</v>
      </c>
    </row>
    <row r="75" spans="1:47">
      <c r="A75" s="102" t="s">
        <v>401</v>
      </c>
      <c r="B75" s="102" t="s">
        <v>87</v>
      </c>
      <c r="C75" s="101">
        <v>34423.21</v>
      </c>
      <c r="D75" s="101">
        <v>53636</v>
      </c>
      <c r="E75" s="101">
        <v>2486648.02</v>
      </c>
      <c r="F75" s="101">
        <v>3676829.04</v>
      </c>
      <c r="G75" s="101">
        <v>957758.27</v>
      </c>
      <c r="H75" s="101">
        <v>1919463.81</v>
      </c>
      <c r="I75" s="101">
        <v>609838.71</v>
      </c>
      <c r="J75" s="101">
        <v>1757365.23</v>
      </c>
      <c r="K75" s="101">
        <v>1580676.79</v>
      </c>
      <c r="L75" s="101">
        <v>33005</v>
      </c>
      <c r="M75" s="101">
        <v>0</v>
      </c>
      <c r="N75" s="101">
        <v>0</v>
      </c>
      <c r="O75" s="101">
        <v>0</v>
      </c>
      <c r="P75" s="101">
        <v>143683.44</v>
      </c>
      <c r="Q75" s="101">
        <v>161780.47</v>
      </c>
      <c r="R75" s="101">
        <v>59985.36</v>
      </c>
      <c r="S75" s="101">
        <v>92345</v>
      </c>
      <c r="T75" s="101">
        <v>4686203.2000000011</v>
      </c>
      <c r="U75" s="101">
        <v>6741477.1100000022</v>
      </c>
      <c r="V75" s="101">
        <v>1622846.85</v>
      </c>
      <c r="W75" s="101">
        <v>3256557.5300000012</v>
      </c>
      <c r="X75" s="101">
        <v>1012933.9</v>
      </c>
      <c r="Y75" s="101">
        <v>3484919.580000001</v>
      </c>
      <c r="Z75" s="101">
        <v>2709731.64</v>
      </c>
      <c r="AA75" s="101">
        <v>56580</v>
      </c>
      <c r="AB75" s="101">
        <v>0</v>
      </c>
      <c r="AC75" s="101">
        <v>0</v>
      </c>
      <c r="AD75" s="101">
        <v>0</v>
      </c>
      <c r="AE75" s="101">
        <v>718607.94</v>
      </c>
      <c r="AF75" s="101">
        <v>296624.99</v>
      </c>
      <c r="AG75" s="101">
        <v>37270</v>
      </c>
      <c r="AH75" s="101">
        <v>53636</v>
      </c>
      <c r="AI75" s="101">
        <v>2349199.4500000002</v>
      </c>
      <c r="AJ75" s="101">
        <v>3451884.9</v>
      </c>
      <c r="AK75" s="101">
        <v>900879.62</v>
      </c>
      <c r="AL75" s="101">
        <v>1950751.31</v>
      </c>
      <c r="AM75" s="101">
        <v>565934.04</v>
      </c>
      <c r="AN75" s="101">
        <v>1501133.59</v>
      </c>
      <c r="AO75" s="101">
        <v>1587663</v>
      </c>
      <c r="AP75" s="101">
        <v>32999.47</v>
      </c>
      <c r="AQ75" s="101">
        <v>0</v>
      </c>
      <c r="AR75" s="101">
        <v>0</v>
      </c>
      <c r="AS75" s="101">
        <v>0</v>
      </c>
      <c r="AT75" s="101">
        <v>-119528.88</v>
      </c>
      <c r="AU75" s="101">
        <v>150262.89000000001</v>
      </c>
    </row>
    <row r="76" spans="1:47">
      <c r="A76" s="102" t="s">
        <v>419</v>
      </c>
      <c r="B76" s="102" t="s">
        <v>99</v>
      </c>
      <c r="C76" s="101">
        <v>13897.43</v>
      </c>
      <c r="D76" s="101">
        <v>16960</v>
      </c>
      <c r="E76" s="101">
        <v>1053323.8700000001</v>
      </c>
      <c r="F76" s="101">
        <v>1248795.2100000009</v>
      </c>
      <c r="G76" s="101">
        <v>157184.89000000001</v>
      </c>
      <c r="H76" s="101">
        <v>700759.85</v>
      </c>
      <c r="I76" s="101">
        <v>187958.91</v>
      </c>
      <c r="J76" s="101">
        <v>548035.36</v>
      </c>
      <c r="K76" s="101">
        <v>434129.01</v>
      </c>
      <c r="L76" s="101">
        <v>5401.2</v>
      </c>
      <c r="M76" s="101">
        <v>0</v>
      </c>
      <c r="N76" s="101">
        <v>0</v>
      </c>
      <c r="O76" s="101">
        <v>0</v>
      </c>
      <c r="P76" s="101">
        <v>108505.15</v>
      </c>
      <c r="Q76" s="101">
        <v>54946.99</v>
      </c>
      <c r="R76" s="101">
        <v>24440.84</v>
      </c>
      <c r="S76" s="101">
        <v>29200</v>
      </c>
      <c r="T76" s="101">
        <v>1977132.9</v>
      </c>
      <c r="U76" s="101">
        <v>2311444</v>
      </c>
      <c r="V76" s="101">
        <v>265690.74</v>
      </c>
      <c r="W76" s="101">
        <v>1195226.21</v>
      </c>
      <c r="X76" s="101">
        <v>313973.07</v>
      </c>
      <c r="Y76" s="101">
        <v>1116217.79</v>
      </c>
      <c r="Z76" s="101">
        <v>744221.16</v>
      </c>
      <c r="AA76" s="101">
        <v>9259.2000000000007</v>
      </c>
      <c r="AB76" s="101">
        <v>0</v>
      </c>
      <c r="AC76" s="101">
        <v>0</v>
      </c>
      <c r="AD76" s="101">
        <v>0</v>
      </c>
      <c r="AE76" s="101">
        <v>362737.43</v>
      </c>
      <c r="AF76" s="101">
        <v>101703.53</v>
      </c>
      <c r="AG76" s="101">
        <v>13213</v>
      </c>
      <c r="AH76" s="101">
        <v>16960</v>
      </c>
      <c r="AI76" s="101">
        <v>976062.91</v>
      </c>
      <c r="AJ76" s="101">
        <v>1148065.42</v>
      </c>
      <c r="AK76" s="101">
        <v>131656.04</v>
      </c>
      <c r="AL76" s="101">
        <v>713710.12</v>
      </c>
      <c r="AM76" s="101">
        <v>193947.21</v>
      </c>
      <c r="AN76" s="101">
        <v>434355.3</v>
      </c>
      <c r="AO76" s="101">
        <v>331701.31</v>
      </c>
      <c r="AP76" s="101">
        <v>5401.2</v>
      </c>
      <c r="AQ76" s="101">
        <v>0</v>
      </c>
      <c r="AR76" s="101">
        <v>0</v>
      </c>
      <c r="AS76" s="101">
        <v>0</v>
      </c>
      <c r="AT76" s="101">
        <v>97252.79</v>
      </c>
      <c r="AU76" s="101">
        <v>50133.81</v>
      </c>
    </row>
    <row r="77" spans="1:47">
      <c r="A77" s="102" t="s">
        <v>421</v>
      </c>
      <c r="B77" s="102" t="s">
        <v>101</v>
      </c>
      <c r="C77" s="101">
        <v>25121.46</v>
      </c>
      <c r="D77" s="101">
        <v>34556</v>
      </c>
      <c r="E77" s="101">
        <v>1636038.63</v>
      </c>
      <c r="F77" s="101">
        <v>1931892.02</v>
      </c>
      <c r="G77" s="101">
        <v>153336.04999999999</v>
      </c>
      <c r="H77" s="101">
        <v>973001.21</v>
      </c>
      <c r="I77" s="101">
        <v>203571.61</v>
      </c>
      <c r="J77" s="101">
        <v>958890.81</v>
      </c>
      <c r="K77" s="101">
        <v>798481.44</v>
      </c>
      <c r="L77" s="101">
        <v>16233</v>
      </c>
      <c r="M77" s="101">
        <v>0</v>
      </c>
      <c r="N77" s="101">
        <v>0</v>
      </c>
      <c r="O77" s="101">
        <v>0</v>
      </c>
      <c r="P77" s="101">
        <v>144176.37</v>
      </c>
      <c r="Q77" s="101">
        <v>85003.24</v>
      </c>
      <c r="R77" s="101">
        <v>43995.76</v>
      </c>
      <c r="S77" s="101">
        <v>59495</v>
      </c>
      <c r="T77" s="101">
        <v>3135227.62</v>
      </c>
      <c r="U77" s="101">
        <v>3659203.01</v>
      </c>
      <c r="V77" s="101">
        <v>278284.90999999997</v>
      </c>
      <c r="W77" s="101">
        <v>1711952.22</v>
      </c>
      <c r="X77" s="101">
        <v>342795.06</v>
      </c>
      <c r="Y77" s="101">
        <v>1947250.79</v>
      </c>
      <c r="Z77" s="101">
        <v>1371781.17</v>
      </c>
      <c r="AA77" s="101">
        <v>27828</v>
      </c>
      <c r="AB77" s="101">
        <v>0</v>
      </c>
      <c r="AC77" s="101">
        <v>0</v>
      </c>
      <c r="AD77" s="101">
        <v>0</v>
      </c>
      <c r="AE77" s="101">
        <v>547641.62</v>
      </c>
      <c r="AF77" s="101">
        <v>161004.93</v>
      </c>
      <c r="AG77" s="101">
        <v>23447</v>
      </c>
      <c r="AH77" s="101">
        <v>34556</v>
      </c>
      <c r="AI77" s="101">
        <v>1387546.68</v>
      </c>
      <c r="AJ77" s="101">
        <v>1671321.32</v>
      </c>
      <c r="AK77" s="101">
        <v>171128.47</v>
      </c>
      <c r="AL77" s="101">
        <v>967389.08</v>
      </c>
      <c r="AM77" s="101">
        <v>209722.47</v>
      </c>
      <c r="AN77" s="101">
        <v>703932.24</v>
      </c>
      <c r="AO77" s="101">
        <v>803787.36</v>
      </c>
      <c r="AP77" s="101">
        <v>16231.25</v>
      </c>
      <c r="AQ77" s="101">
        <v>0</v>
      </c>
      <c r="AR77" s="101">
        <v>0</v>
      </c>
      <c r="AS77" s="101">
        <v>0</v>
      </c>
      <c r="AT77" s="101">
        <v>-116086.37</v>
      </c>
      <c r="AU77" s="101">
        <v>73081.16</v>
      </c>
    </row>
    <row r="78" spans="1:47">
      <c r="A78" s="102" t="s">
        <v>996</v>
      </c>
      <c r="B78" s="102" t="e">
        <v>#N/A</v>
      </c>
      <c r="C78" s="101">
        <v>180047.75</v>
      </c>
      <c r="D78" s="101">
        <v>238924</v>
      </c>
      <c r="E78" s="101">
        <v>13545357.75</v>
      </c>
      <c r="F78" s="101">
        <v>19078520.680000003</v>
      </c>
      <c r="G78" s="101">
        <v>4189988.22</v>
      </c>
      <c r="H78" s="101">
        <v>9747469.8699999973</v>
      </c>
      <c r="I78" s="101">
        <v>2707615.33</v>
      </c>
      <c r="J78" s="101">
        <v>9331050.8100000024</v>
      </c>
      <c r="K78" s="101">
        <v>6311452.2599999998</v>
      </c>
      <c r="L78" s="101">
        <v>103517.82</v>
      </c>
      <c r="M78" s="101">
        <v>0</v>
      </c>
      <c r="N78" s="101">
        <v>0</v>
      </c>
      <c r="O78" s="101">
        <v>0</v>
      </c>
      <c r="P78" s="101">
        <v>2916080.7300000009</v>
      </c>
      <c r="Q78" s="101">
        <v>839454.89</v>
      </c>
      <c r="R78" s="101">
        <v>312974.09000000003</v>
      </c>
      <c r="S78" s="101">
        <v>411355</v>
      </c>
      <c r="T78" s="101">
        <v>25500161.75</v>
      </c>
      <c r="U78" s="101">
        <v>35216998.300000004</v>
      </c>
      <c r="V78" s="101">
        <v>7305532.7599999998</v>
      </c>
      <c r="W78" s="101">
        <v>16809936.560000002</v>
      </c>
      <c r="X78" s="101">
        <v>4587611.79</v>
      </c>
      <c r="Y78" s="101">
        <v>18407061.740000013</v>
      </c>
      <c r="Z78" s="101">
        <v>10954850.619999999</v>
      </c>
      <c r="AA78" s="101">
        <v>177459.12</v>
      </c>
      <c r="AB78" s="101">
        <v>0</v>
      </c>
      <c r="AC78" s="101">
        <v>0</v>
      </c>
      <c r="AD78" s="101">
        <v>0</v>
      </c>
      <c r="AE78" s="101">
        <v>7274752.0000000084</v>
      </c>
      <c r="AF78" s="101">
        <v>1549547.89</v>
      </c>
      <c r="AG78" s="101">
        <v>183565</v>
      </c>
      <c r="AH78" s="101">
        <v>238924</v>
      </c>
      <c r="AI78" s="101">
        <v>12709433.99</v>
      </c>
      <c r="AJ78" s="101">
        <v>17840003.680000003</v>
      </c>
      <c r="AK78" s="101">
        <v>3869006.07</v>
      </c>
      <c r="AL78" s="101">
        <v>9908283.5400000028</v>
      </c>
      <c r="AM78" s="101">
        <v>2695687.22</v>
      </c>
      <c r="AN78" s="101">
        <v>7931720.1400000034</v>
      </c>
      <c r="AO78" s="101">
        <v>6353524.96</v>
      </c>
      <c r="AP78" s="101">
        <v>103431.79</v>
      </c>
      <c r="AQ78" s="101">
        <v>0</v>
      </c>
      <c r="AR78" s="101">
        <v>0</v>
      </c>
      <c r="AS78" s="101">
        <v>0</v>
      </c>
      <c r="AT78" s="101">
        <v>1474763.39</v>
      </c>
      <c r="AU78" s="101">
        <v>775795.03</v>
      </c>
    </row>
    <row r="79" spans="1:47">
      <c r="A79" s="102" t="s">
        <v>997</v>
      </c>
      <c r="B79" s="102" t="e">
        <v>#N/A</v>
      </c>
      <c r="C79" s="101">
        <v>435055.57</v>
      </c>
      <c r="D79" s="101">
        <v>579820</v>
      </c>
      <c r="E79" s="101">
        <v>32535505.809999999</v>
      </c>
      <c r="F79" s="101">
        <v>48271501.460000001</v>
      </c>
      <c r="G79" s="101">
        <v>12188527.32</v>
      </c>
      <c r="H79" s="101">
        <v>26939110.500000004</v>
      </c>
      <c r="I79" s="101">
        <v>9561356.3000000045</v>
      </c>
      <c r="J79" s="101">
        <v>21332390.960000005</v>
      </c>
      <c r="K79" s="101">
        <v>16031275.800000003</v>
      </c>
      <c r="L79" s="101">
        <v>176955.59</v>
      </c>
      <c r="M79" s="101">
        <v>0</v>
      </c>
      <c r="N79" s="101">
        <v>0</v>
      </c>
      <c r="O79" s="101">
        <v>0</v>
      </c>
      <c r="P79" s="101">
        <v>5124159.5700000031</v>
      </c>
      <c r="Q79" s="101">
        <v>2123946.0299999998</v>
      </c>
      <c r="R79" s="101">
        <v>769504.02</v>
      </c>
      <c r="S79" s="101">
        <v>998275</v>
      </c>
      <c r="T79" s="101">
        <v>61049971.299999997</v>
      </c>
      <c r="U79" s="101">
        <v>88903790.180000007</v>
      </c>
      <c r="V79" s="101">
        <v>21547527.879999999</v>
      </c>
      <c r="W79" s="101">
        <v>46972157.360000007</v>
      </c>
      <c r="X79" s="101">
        <v>16470803.330000002</v>
      </c>
      <c r="Y79" s="101">
        <v>41931632.82</v>
      </c>
      <c r="Z79" s="101">
        <v>27975238.84</v>
      </c>
      <c r="AA79" s="101">
        <v>303444.44</v>
      </c>
      <c r="AB79" s="101">
        <v>0</v>
      </c>
      <c r="AC79" s="101">
        <v>0</v>
      </c>
      <c r="AD79" s="101">
        <v>0</v>
      </c>
      <c r="AE79" s="101">
        <v>13652949.540000003</v>
      </c>
      <c r="AF79" s="101">
        <v>3911766.74</v>
      </c>
      <c r="AG79" s="101">
        <v>433395</v>
      </c>
      <c r="AH79" s="101">
        <v>579820</v>
      </c>
      <c r="AI79" s="101">
        <v>31189400.120000001</v>
      </c>
      <c r="AJ79" s="101">
        <v>45910356.980000012</v>
      </c>
      <c r="AK79" s="101">
        <v>11267279.710000003</v>
      </c>
      <c r="AL79" s="101">
        <v>26638161.649999999</v>
      </c>
      <c r="AM79" s="101">
        <v>9371898.5099999979</v>
      </c>
      <c r="AN79" s="101">
        <v>19272195.330000009</v>
      </c>
      <c r="AO79" s="101">
        <v>15852168.23</v>
      </c>
      <c r="AP79" s="101">
        <v>177757.94</v>
      </c>
      <c r="AQ79" s="101">
        <v>0</v>
      </c>
      <c r="AR79" s="101">
        <v>0</v>
      </c>
      <c r="AS79" s="101">
        <v>0</v>
      </c>
      <c r="AT79" s="101">
        <v>3242269.1599999992</v>
      </c>
      <c r="AU79" s="101">
        <v>1996712.77</v>
      </c>
    </row>
    <row r="80" spans="1:47">
      <c r="A80" s="102" t="s">
        <v>458</v>
      </c>
      <c r="B80" s="102" t="s">
        <v>459</v>
      </c>
      <c r="C80" s="101">
        <v>16351</v>
      </c>
      <c r="D80" s="101">
        <v>25864</v>
      </c>
      <c r="E80" s="101">
        <v>1449953.828125</v>
      </c>
      <c r="F80" s="101">
        <v>2217548.328125</v>
      </c>
      <c r="G80" s="101">
        <v>638560.4453125</v>
      </c>
      <c r="H80" s="101">
        <v>1640335.15625</v>
      </c>
      <c r="I80" s="101">
        <v>722501.4921875</v>
      </c>
      <c r="J80" s="101">
        <v>577213.171875</v>
      </c>
      <c r="K80" s="101">
        <v>0</v>
      </c>
      <c r="L80" s="101">
        <v>15246.875</v>
      </c>
      <c r="M80" s="101">
        <v>0</v>
      </c>
      <c r="N80" s="101">
        <v>0</v>
      </c>
      <c r="O80" s="101">
        <v>0</v>
      </c>
      <c r="P80" s="101">
        <v>561966.296875</v>
      </c>
      <c r="Q80" s="101">
        <v>97572.125</v>
      </c>
      <c r="R80" s="101">
        <v>28729</v>
      </c>
      <c r="S80" s="101">
        <v>44530</v>
      </c>
      <c r="T80" s="101">
        <v>2575531.1796875</v>
      </c>
      <c r="U80" s="101">
        <v>3985071.0234375</v>
      </c>
      <c r="V80" s="101">
        <v>1186349.1015625</v>
      </c>
      <c r="W80" s="101">
        <v>2832669.0625</v>
      </c>
      <c r="X80" s="101">
        <v>1234672.4140625</v>
      </c>
      <c r="Y80" s="101">
        <v>1152401.9609375</v>
      </c>
      <c r="Z80" s="101">
        <v>0</v>
      </c>
      <c r="AA80" s="101">
        <v>26137.5</v>
      </c>
      <c r="AB80" s="101">
        <v>0</v>
      </c>
      <c r="AC80" s="101">
        <v>0</v>
      </c>
      <c r="AD80" s="101">
        <v>0</v>
      </c>
      <c r="AE80" s="101">
        <v>1126264.4609375</v>
      </c>
      <c r="AF80" s="101">
        <v>175343.125</v>
      </c>
      <c r="AG80" s="101">
        <v>16996</v>
      </c>
      <c r="AH80" s="101">
        <v>25864</v>
      </c>
      <c r="AI80" s="101">
        <v>1508014.8569199999</v>
      </c>
      <c r="AJ80" s="101">
        <v>2316839.5172450002</v>
      </c>
      <c r="AK80" s="101">
        <v>682144.22782000003</v>
      </c>
      <c r="AL80" s="101">
        <v>1737415.82014</v>
      </c>
      <c r="AM80" s="101">
        <v>753663.95961999998</v>
      </c>
      <c r="AN80" s="101">
        <v>579423.69710500003</v>
      </c>
      <c r="AO80" s="101">
        <v>0</v>
      </c>
      <c r="AP80" s="101">
        <v>15995.24685</v>
      </c>
      <c r="AQ80" s="101">
        <v>0</v>
      </c>
      <c r="AR80" s="101">
        <v>0</v>
      </c>
      <c r="AS80" s="101">
        <v>0</v>
      </c>
      <c r="AT80" s="101">
        <v>563428.45025500003</v>
      </c>
      <c r="AU80" s="101">
        <v>101776.007795</v>
      </c>
    </row>
    <row r="81" spans="1:47">
      <c r="A81" s="102" t="s">
        <v>446</v>
      </c>
      <c r="B81" s="102" t="s">
        <v>120</v>
      </c>
      <c r="C81" s="101">
        <v>33308</v>
      </c>
      <c r="D81" s="101">
        <v>40280</v>
      </c>
      <c r="E81" s="101">
        <v>3912183.0078125</v>
      </c>
      <c r="F81" s="101">
        <v>5067399.34375</v>
      </c>
      <c r="G81" s="101">
        <v>941749.3203125</v>
      </c>
      <c r="H81" s="101">
        <v>2482838.4765625</v>
      </c>
      <c r="I81" s="101">
        <v>1214050.2734375</v>
      </c>
      <c r="J81" s="101">
        <v>2584560.8671875</v>
      </c>
      <c r="K81" s="101">
        <v>1508209.3359375</v>
      </c>
      <c r="L81" s="101">
        <v>16953.125</v>
      </c>
      <c r="M81" s="101">
        <v>0</v>
      </c>
      <c r="N81" s="101">
        <v>0</v>
      </c>
      <c r="O81" s="101">
        <v>0</v>
      </c>
      <c r="P81" s="101">
        <v>1059398.40625</v>
      </c>
      <c r="Q81" s="101">
        <v>222965.5625</v>
      </c>
      <c r="R81" s="101">
        <v>55317</v>
      </c>
      <c r="S81" s="101">
        <v>69350</v>
      </c>
      <c r="T81" s="101">
        <v>6192057.09375</v>
      </c>
      <c r="U81" s="101">
        <v>8086713.3046875</v>
      </c>
      <c r="V81" s="101">
        <v>1550087.7421875</v>
      </c>
      <c r="W81" s="101">
        <v>4189617.8203125</v>
      </c>
      <c r="X81" s="101">
        <v>2066463.9375</v>
      </c>
      <c r="Y81" s="101">
        <v>3897095.484375</v>
      </c>
      <c r="Z81" s="101">
        <v>2570679.84375</v>
      </c>
      <c r="AA81" s="101">
        <v>29062.5</v>
      </c>
      <c r="AB81" s="101">
        <v>0</v>
      </c>
      <c r="AC81" s="101">
        <v>0</v>
      </c>
      <c r="AD81" s="101">
        <v>0</v>
      </c>
      <c r="AE81" s="101">
        <v>1297353.140625</v>
      </c>
      <c r="AF81" s="101">
        <v>355815.375</v>
      </c>
      <c r="AG81" s="101">
        <v>32857</v>
      </c>
      <c r="AH81" s="101">
        <v>40280</v>
      </c>
      <c r="AI81" s="101">
        <v>4009047.6444700002</v>
      </c>
      <c r="AJ81" s="101">
        <v>5126417.1688950025</v>
      </c>
      <c r="AK81" s="101">
        <v>927831.32761000004</v>
      </c>
      <c r="AL81" s="101">
        <v>2684786.10928</v>
      </c>
      <c r="AM81" s="101">
        <v>1281767.682085</v>
      </c>
      <c r="AN81" s="101">
        <v>2441631.0596150002</v>
      </c>
      <c r="AO81" s="101">
        <v>1572615.5830000001</v>
      </c>
      <c r="AP81" s="101">
        <v>18242.07</v>
      </c>
      <c r="AQ81" s="101">
        <v>0</v>
      </c>
      <c r="AR81" s="101">
        <v>0</v>
      </c>
      <c r="AS81" s="101">
        <v>0</v>
      </c>
      <c r="AT81" s="101">
        <v>850773.40661499999</v>
      </c>
      <c r="AU81" s="101">
        <v>224359.23532000001</v>
      </c>
    </row>
    <row r="82" spans="1:47">
      <c r="A82" s="102" t="s">
        <v>475</v>
      </c>
      <c r="B82" s="102" t="s">
        <v>137</v>
      </c>
      <c r="C82" s="101">
        <v>23108</v>
      </c>
      <c r="D82" s="101">
        <v>29680</v>
      </c>
      <c r="E82" s="101">
        <v>1880867.7578125</v>
      </c>
      <c r="F82" s="101">
        <v>2639562.703125</v>
      </c>
      <c r="G82" s="101">
        <v>634390.453125</v>
      </c>
      <c r="H82" s="101">
        <v>1750256.4609375</v>
      </c>
      <c r="I82" s="101">
        <v>809832.9765625</v>
      </c>
      <c r="J82" s="101">
        <v>889306.2421875</v>
      </c>
      <c r="K82" s="101">
        <v>1191115.625</v>
      </c>
      <c r="L82" s="101">
        <v>0</v>
      </c>
      <c r="M82" s="101">
        <v>0</v>
      </c>
      <c r="N82" s="101">
        <v>0</v>
      </c>
      <c r="O82" s="101">
        <v>0</v>
      </c>
      <c r="P82" s="101">
        <v>-301809.3828125</v>
      </c>
      <c r="Q82" s="101">
        <v>116140.7578125</v>
      </c>
      <c r="R82" s="101">
        <v>39366</v>
      </c>
      <c r="S82" s="101">
        <v>51100</v>
      </c>
      <c r="T82" s="101">
        <v>3243183.3671875</v>
      </c>
      <c r="U82" s="101">
        <v>4608101.5234375</v>
      </c>
      <c r="V82" s="101">
        <v>1155361.71875</v>
      </c>
      <c r="W82" s="101">
        <v>3012017.1171875</v>
      </c>
      <c r="X82" s="101">
        <v>1381765.53125</v>
      </c>
      <c r="Y82" s="101">
        <v>1596084.40625</v>
      </c>
      <c r="Z82" s="101">
        <v>2041912.5</v>
      </c>
      <c r="AA82" s="101">
        <v>0</v>
      </c>
      <c r="AB82" s="101">
        <v>0</v>
      </c>
      <c r="AC82" s="101">
        <v>0</v>
      </c>
      <c r="AD82" s="101">
        <v>0</v>
      </c>
      <c r="AE82" s="101">
        <v>-445828.09375</v>
      </c>
      <c r="AF82" s="101">
        <v>202756.4609375</v>
      </c>
      <c r="AG82" s="101">
        <v>22840</v>
      </c>
      <c r="AH82" s="101">
        <v>29680</v>
      </c>
      <c r="AI82" s="101">
        <v>1892445.9864749999</v>
      </c>
      <c r="AJ82" s="101">
        <v>2549173.21692</v>
      </c>
      <c r="AK82" s="101">
        <v>543345.46365000005</v>
      </c>
      <c r="AL82" s="101">
        <v>1830881.8274999999</v>
      </c>
      <c r="AM82" s="101">
        <v>850070.69356000004</v>
      </c>
      <c r="AN82" s="101">
        <v>718291.38942000095</v>
      </c>
      <c r="AO82" s="101">
        <v>1255026.9381649999</v>
      </c>
      <c r="AP82" s="101">
        <v>0</v>
      </c>
      <c r="AQ82" s="101">
        <v>0</v>
      </c>
      <c r="AR82" s="101">
        <v>0</v>
      </c>
      <c r="AS82" s="101">
        <v>0</v>
      </c>
      <c r="AT82" s="101">
        <v>-536735.54874500004</v>
      </c>
      <c r="AU82" s="101">
        <v>112097.45458999999</v>
      </c>
    </row>
    <row r="83" spans="1:47">
      <c r="A83" s="102" t="s">
        <v>441</v>
      </c>
      <c r="B83" s="102" t="s">
        <v>117</v>
      </c>
      <c r="C83" s="101">
        <v>11818</v>
      </c>
      <c r="D83" s="101">
        <v>14840</v>
      </c>
      <c r="E83" s="101">
        <v>1391166.265625</v>
      </c>
      <c r="F83" s="101">
        <v>1617965.7265625</v>
      </c>
      <c r="G83" s="101">
        <v>192910.328125</v>
      </c>
      <c r="H83" s="101">
        <v>790654.1015625</v>
      </c>
      <c r="I83" s="101">
        <v>361967.6953125</v>
      </c>
      <c r="J83" s="101">
        <v>827311.625</v>
      </c>
      <c r="K83" s="101">
        <v>645130.2265625</v>
      </c>
      <c r="L83" s="101">
        <v>0</v>
      </c>
      <c r="M83" s="101">
        <v>0</v>
      </c>
      <c r="N83" s="101">
        <v>0</v>
      </c>
      <c r="O83" s="101">
        <v>0</v>
      </c>
      <c r="P83" s="101">
        <v>182181.3984375</v>
      </c>
      <c r="Q83" s="101">
        <v>71190.4921875</v>
      </c>
      <c r="R83" s="101">
        <v>19950</v>
      </c>
      <c r="S83" s="101">
        <v>25550</v>
      </c>
      <c r="T83" s="101">
        <v>2234306.8359375</v>
      </c>
      <c r="U83" s="101">
        <v>2607531.1796875</v>
      </c>
      <c r="V83" s="101">
        <v>315883.6171875</v>
      </c>
      <c r="W83" s="101">
        <v>1337837.4140625</v>
      </c>
      <c r="X83" s="101">
        <v>620395.28125</v>
      </c>
      <c r="Y83" s="101">
        <v>1269693.765625</v>
      </c>
      <c r="Z83" s="101">
        <v>1099631.28125</v>
      </c>
      <c r="AA83" s="101">
        <v>0</v>
      </c>
      <c r="AB83" s="101">
        <v>0</v>
      </c>
      <c r="AC83" s="101">
        <v>0</v>
      </c>
      <c r="AD83" s="101">
        <v>0</v>
      </c>
      <c r="AE83" s="101">
        <v>170062.484375</v>
      </c>
      <c r="AF83" s="101">
        <v>114731.3671875</v>
      </c>
      <c r="AG83" s="101">
        <v>12214</v>
      </c>
      <c r="AH83" s="101">
        <v>14840</v>
      </c>
      <c r="AI83" s="101">
        <v>1411748.3804049999</v>
      </c>
      <c r="AJ83" s="101">
        <v>1628011.6523</v>
      </c>
      <c r="AK83" s="101">
        <v>181145.74648500001</v>
      </c>
      <c r="AL83" s="101">
        <v>875731.73803500005</v>
      </c>
      <c r="AM83" s="101">
        <v>426239.118525</v>
      </c>
      <c r="AN83" s="101">
        <v>752279.91426500003</v>
      </c>
      <c r="AO83" s="101">
        <v>713768.30668000004</v>
      </c>
      <c r="AP83" s="101">
        <v>0</v>
      </c>
      <c r="AQ83" s="101">
        <v>0</v>
      </c>
      <c r="AR83" s="101">
        <v>0</v>
      </c>
      <c r="AS83" s="101">
        <v>0</v>
      </c>
      <c r="AT83" s="101">
        <v>38511.607584999998</v>
      </c>
      <c r="AU83" s="101">
        <v>71375.589945</v>
      </c>
    </row>
    <row r="84" spans="1:47">
      <c r="A84" s="102" t="s">
        <v>998</v>
      </c>
      <c r="B84" s="102" t="e">
        <v>#N/A</v>
      </c>
      <c r="C84" s="101">
        <v>84585</v>
      </c>
      <c r="D84" s="101">
        <v>110664</v>
      </c>
      <c r="E84" s="101">
        <v>8634170.859375</v>
      </c>
      <c r="F84" s="101">
        <v>11542476.1015625</v>
      </c>
      <c r="G84" s="101">
        <v>2407610.546875</v>
      </c>
      <c r="H84" s="101">
        <v>6664084.1953125</v>
      </c>
      <c r="I84" s="101">
        <v>3108352.4375</v>
      </c>
      <c r="J84" s="101">
        <v>4878391.90625</v>
      </c>
      <c r="K84" s="101">
        <v>3344455.1875</v>
      </c>
      <c r="L84" s="101">
        <v>32200</v>
      </c>
      <c r="M84" s="101">
        <v>0</v>
      </c>
      <c r="N84" s="101">
        <v>0</v>
      </c>
      <c r="O84" s="101">
        <v>0</v>
      </c>
      <c r="P84" s="101">
        <v>1501736.71875</v>
      </c>
      <c r="Q84" s="101">
        <v>507868.9375</v>
      </c>
      <c r="R84" s="101">
        <v>143362</v>
      </c>
      <c r="S84" s="101">
        <v>190530</v>
      </c>
      <c r="T84" s="101">
        <v>14245078.4765625</v>
      </c>
      <c r="U84" s="101">
        <v>19287417.03125</v>
      </c>
      <c r="V84" s="101">
        <v>4207682.1796875</v>
      </c>
      <c r="W84" s="101">
        <v>11372141.4140625</v>
      </c>
      <c r="X84" s="101">
        <v>5303297.1640625</v>
      </c>
      <c r="Y84" s="101">
        <v>7915275.6171875</v>
      </c>
      <c r="Z84" s="101">
        <v>5712223.625</v>
      </c>
      <c r="AA84" s="101">
        <v>55200</v>
      </c>
      <c r="AB84" s="101">
        <v>0</v>
      </c>
      <c r="AC84" s="101">
        <v>0</v>
      </c>
      <c r="AD84" s="101">
        <v>0</v>
      </c>
      <c r="AE84" s="101">
        <v>2147851.9921875</v>
      </c>
      <c r="AF84" s="101">
        <v>848646.328125</v>
      </c>
      <c r="AG84" s="101">
        <v>84907</v>
      </c>
      <c r="AH84" s="101">
        <v>110664</v>
      </c>
      <c r="AI84" s="101">
        <v>8821256.8682700004</v>
      </c>
      <c r="AJ84" s="101">
        <v>11620441.555360002</v>
      </c>
      <c r="AK84" s="101">
        <v>2334466.7655650009</v>
      </c>
      <c r="AL84" s="101">
        <v>7128815.4949550023</v>
      </c>
      <c r="AM84" s="101">
        <v>3311741.4537900002</v>
      </c>
      <c r="AN84" s="101">
        <v>4491626.0604049983</v>
      </c>
      <c r="AO84" s="101">
        <v>3541410.8278450002</v>
      </c>
      <c r="AP84" s="101">
        <v>34237.316850000003</v>
      </c>
      <c r="AQ84" s="101">
        <v>0</v>
      </c>
      <c r="AR84" s="101">
        <v>0</v>
      </c>
      <c r="AS84" s="101">
        <v>0</v>
      </c>
      <c r="AT84" s="101">
        <v>915977.91571000102</v>
      </c>
      <c r="AU84" s="101">
        <v>509608.28765000001</v>
      </c>
    </row>
    <row r="85" spans="1:47">
      <c r="A85" s="102" t="s">
        <v>407</v>
      </c>
      <c r="B85" s="102" t="s">
        <v>91</v>
      </c>
      <c r="C85" s="101">
        <v>4066.05</v>
      </c>
      <c r="D85" s="101">
        <v>5088</v>
      </c>
      <c r="E85" s="101">
        <v>422575.23</v>
      </c>
      <c r="F85" s="101">
        <v>485536.7</v>
      </c>
      <c r="G85" s="101">
        <v>49830.53</v>
      </c>
      <c r="H85" s="101">
        <v>261861.63</v>
      </c>
      <c r="I85" s="101">
        <v>70365.27</v>
      </c>
      <c r="J85" s="101">
        <v>223675.07</v>
      </c>
      <c r="K85" s="101">
        <v>141621.48000000001</v>
      </c>
      <c r="L85" s="101">
        <v>2649.15</v>
      </c>
      <c r="M85" s="101">
        <v>0</v>
      </c>
      <c r="N85" s="101">
        <v>0</v>
      </c>
      <c r="O85" s="101">
        <v>0</v>
      </c>
      <c r="P85" s="101">
        <v>79404.44</v>
      </c>
      <c r="Q85" s="101">
        <v>21363.61</v>
      </c>
      <c r="R85" s="101">
        <v>7119.74</v>
      </c>
      <c r="S85" s="101">
        <v>8760</v>
      </c>
      <c r="T85" s="101">
        <v>738364.96</v>
      </c>
      <c r="U85" s="101">
        <v>846051.08</v>
      </c>
      <c r="V85" s="101">
        <v>85358.98</v>
      </c>
      <c r="W85" s="101">
        <v>447896.22</v>
      </c>
      <c r="X85" s="101">
        <v>122387.15</v>
      </c>
      <c r="Y85" s="101">
        <v>398154.86</v>
      </c>
      <c r="Z85" s="101">
        <v>242434.83</v>
      </c>
      <c r="AA85" s="101">
        <v>4541.3999999999996</v>
      </c>
      <c r="AB85" s="101">
        <v>0</v>
      </c>
      <c r="AC85" s="101">
        <v>0</v>
      </c>
      <c r="AD85" s="101">
        <v>0</v>
      </c>
      <c r="AE85" s="101">
        <v>151178.63</v>
      </c>
      <c r="AF85" s="101">
        <v>37226.239999999998</v>
      </c>
      <c r="AG85" s="101">
        <v>3880</v>
      </c>
      <c r="AH85" s="101">
        <v>5088</v>
      </c>
      <c r="AI85" s="101">
        <v>426131.15</v>
      </c>
      <c r="AJ85" s="101">
        <v>475701.94</v>
      </c>
      <c r="AK85" s="101">
        <v>39456.42</v>
      </c>
      <c r="AL85" s="101">
        <v>261805.35</v>
      </c>
      <c r="AM85" s="101">
        <v>71318.899999999994</v>
      </c>
      <c r="AN85" s="101">
        <v>213896.59</v>
      </c>
      <c r="AO85" s="101">
        <v>141228.99</v>
      </c>
      <c r="AP85" s="101">
        <v>3274.44</v>
      </c>
      <c r="AQ85" s="101">
        <v>0</v>
      </c>
      <c r="AR85" s="101">
        <v>0</v>
      </c>
      <c r="AS85" s="101">
        <v>0</v>
      </c>
      <c r="AT85" s="101">
        <v>69393.16</v>
      </c>
      <c r="AU85" s="101">
        <v>20801.73</v>
      </c>
    </row>
    <row r="86" spans="1:47">
      <c r="A86" s="102" t="s">
        <v>428</v>
      </c>
      <c r="B86" s="102" t="s">
        <v>106</v>
      </c>
      <c r="C86" s="101">
        <v>31253</v>
      </c>
      <c r="D86" s="101">
        <v>33496</v>
      </c>
      <c r="E86" s="101">
        <v>2500449.4300000002</v>
      </c>
      <c r="F86" s="101">
        <v>3530404.1900000009</v>
      </c>
      <c r="G86" s="101">
        <v>705697.95</v>
      </c>
      <c r="H86" s="101">
        <v>1995655.55</v>
      </c>
      <c r="I86" s="101">
        <v>558225.15</v>
      </c>
      <c r="J86" s="101">
        <v>1534748.64</v>
      </c>
      <c r="K86" s="101">
        <v>1059121.25</v>
      </c>
      <c r="L86" s="101">
        <v>0</v>
      </c>
      <c r="M86" s="101">
        <v>0</v>
      </c>
      <c r="N86" s="101">
        <v>0</v>
      </c>
      <c r="O86" s="101">
        <v>0</v>
      </c>
      <c r="P86" s="101">
        <v>475627.39</v>
      </c>
      <c r="Q86" s="101">
        <v>155337.78</v>
      </c>
      <c r="R86" s="101">
        <v>54687</v>
      </c>
      <c r="S86" s="101">
        <v>57670</v>
      </c>
      <c r="T86" s="101">
        <v>4349449.2</v>
      </c>
      <c r="U86" s="101">
        <v>6136863.1799999997</v>
      </c>
      <c r="V86" s="101">
        <v>1212691.54</v>
      </c>
      <c r="W86" s="101">
        <v>3416007.99</v>
      </c>
      <c r="X86" s="101">
        <v>947367.02</v>
      </c>
      <c r="Y86" s="101">
        <v>2720855.1900000009</v>
      </c>
      <c r="Z86" s="101">
        <v>1841058.94</v>
      </c>
      <c r="AA86" s="101">
        <v>0</v>
      </c>
      <c r="AB86" s="101">
        <v>0</v>
      </c>
      <c r="AC86" s="101">
        <v>0</v>
      </c>
      <c r="AD86" s="101">
        <v>0</v>
      </c>
      <c r="AE86" s="101">
        <v>879796.25000000105</v>
      </c>
      <c r="AF86" s="101">
        <v>270021.96999999997</v>
      </c>
      <c r="AG86" s="101">
        <v>30866</v>
      </c>
      <c r="AH86" s="101">
        <v>33496</v>
      </c>
      <c r="AI86" s="101">
        <v>2425741.98</v>
      </c>
      <c r="AJ86" s="101">
        <v>3420259.0300000012</v>
      </c>
      <c r="AK86" s="101">
        <v>673123.8</v>
      </c>
      <c r="AL86" s="101">
        <v>1952545.04</v>
      </c>
      <c r="AM86" s="101">
        <v>534555.28</v>
      </c>
      <c r="AN86" s="101">
        <v>1467713.9900000009</v>
      </c>
      <c r="AO86" s="101">
        <v>1026077.71</v>
      </c>
      <c r="AP86" s="101">
        <v>0</v>
      </c>
      <c r="AQ86" s="101">
        <v>0</v>
      </c>
      <c r="AR86" s="101">
        <v>0</v>
      </c>
      <c r="AS86" s="101">
        <v>0</v>
      </c>
      <c r="AT86" s="101">
        <v>441636.28</v>
      </c>
      <c r="AU86" s="101">
        <v>146942.14000000001</v>
      </c>
    </row>
    <row r="87" spans="1:47">
      <c r="A87" s="102" t="s">
        <v>411</v>
      </c>
      <c r="B87" s="102" t="s">
        <v>412</v>
      </c>
      <c r="C87" s="101">
        <v>37050.910000000003</v>
      </c>
      <c r="D87" s="101">
        <v>64872</v>
      </c>
      <c r="E87" s="101">
        <v>2162243.94</v>
      </c>
      <c r="F87" s="101">
        <v>3596610.65</v>
      </c>
      <c r="G87" s="101">
        <v>1160295.26</v>
      </c>
      <c r="H87" s="101">
        <v>2279335.27</v>
      </c>
      <c r="I87" s="101">
        <v>696287.79</v>
      </c>
      <c r="J87" s="101">
        <v>1317275.3799999999</v>
      </c>
      <c r="K87" s="101">
        <v>0</v>
      </c>
      <c r="L87" s="101">
        <v>17213.7</v>
      </c>
      <c r="M87" s="101">
        <v>0</v>
      </c>
      <c r="N87" s="101">
        <v>0</v>
      </c>
      <c r="O87" s="101">
        <v>0</v>
      </c>
      <c r="P87" s="101">
        <v>1300061.68</v>
      </c>
      <c r="Q87" s="101">
        <v>158250.87</v>
      </c>
      <c r="R87" s="101">
        <v>62724.72</v>
      </c>
      <c r="S87" s="101">
        <v>111690</v>
      </c>
      <c r="T87" s="101">
        <v>3722729.14</v>
      </c>
      <c r="U87" s="101">
        <v>6208879.96</v>
      </c>
      <c r="V87" s="101">
        <v>1998983.32</v>
      </c>
      <c r="W87" s="101">
        <v>3910481.24</v>
      </c>
      <c r="X87" s="101">
        <v>1189862.47</v>
      </c>
      <c r="Y87" s="101">
        <v>2298398.7200000011</v>
      </c>
      <c r="Z87" s="101">
        <v>0</v>
      </c>
      <c r="AA87" s="101">
        <v>29509.200000000001</v>
      </c>
      <c r="AB87" s="101">
        <v>0</v>
      </c>
      <c r="AC87" s="101">
        <v>0</v>
      </c>
      <c r="AD87" s="101">
        <v>0</v>
      </c>
      <c r="AE87" s="101">
        <v>2268889.5200000009</v>
      </c>
      <c r="AF87" s="101">
        <v>273190.71999999997</v>
      </c>
      <c r="AG87" s="101">
        <v>43038.82</v>
      </c>
      <c r="AH87" s="101">
        <v>64872</v>
      </c>
      <c r="AI87" s="101">
        <v>2280905.36</v>
      </c>
      <c r="AJ87" s="101">
        <v>3597783.27</v>
      </c>
      <c r="AK87" s="101">
        <v>1105769.21</v>
      </c>
      <c r="AL87" s="101">
        <v>2316687.0700000012</v>
      </c>
      <c r="AM87" s="101">
        <v>553855.68000000005</v>
      </c>
      <c r="AN87" s="101">
        <v>1281096.2</v>
      </c>
      <c r="AO87" s="101">
        <v>0</v>
      </c>
      <c r="AP87" s="101">
        <v>17213.71</v>
      </c>
      <c r="AQ87" s="101">
        <v>0</v>
      </c>
      <c r="AR87" s="101">
        <v>0</v>
      </c>
      <c r="AS87" s="101">
        <v>0</v>
      </c>
      <c r="AT87" s="101">
        <v>1263882.49</v>
      </c>
      <c r="AU87" s="101">
        <v>156452.17000000001</v>
      </c>
    </row>
    <row r="88" spans="1:47">
      <c r="A88" s="102" t="s">
        <v>414</v>
      </c>
      <c r="B88" s="102" t="s">
        <v>96</v>
      </c>
      <c r="C88" s="101">
        <v>39469.67</v>
      </c>
      <c r="D88" s="101">
        <v>63388</v>
      </c>
      <c r="E88" s="101">
        <v>2383304.63</v>
      </c>
      <c r="F88" s="101">
        <v>4325943.32</v>
      </c>
      <c r="G88" s="101">
        <v>1559717.5</v>
      </c>
      <c r="H88" s="101">
        <v>2393387.7000000002</v>
      </c>
      <c r="I88" s="101">
        <v>671866.12</v>
      </c>
      <c r="J88" s="101">
        <v>1932555.62</v>
      </c>
      <c r="K88" s="101">
        <v>1333998.05</v>
      </c>
      <c r="L88" s="101">
        <v>22271.27</v>
      </c>
      <c r="M88" s="101">
        <v>0</v>
      </c>
      <c r="N88" s="101">
        <v>0</v>
      </c>
      <c r="O88" s="101">
        <v>0</v>
      </c>
      <c r="P88" s="101">
        <v>576286.30000000005</v>
      </c>
      <c r="Q88" s="101">
        <v>190341.5</v>
      </c>
      <c r="R88" s="101">
        <v>66114.06</v>
      </c>
      <c r="S88" s="101">
        <v>109135</v>
      </c>
      <c r="T88" s="101">
        <v>4089209.04</v>
      </c>
      <c r="U88" s="101">
        <v>7697344.0899999999</v>
      </c>
      <c r="V88" s="101">
        <v>2846717.51</v>
      </c>
      <c r="W88" s="101">
        <v>4177188.34</v>
      </c>
      <c r="X88" s="101">
        <v>1131227.28</v>
      </c>
      <c r="Y88" s="101">
        <v>3520155.75</v>
      </c>
      <c r="Z88" s="101">
        <v>2283605.5499999998</v>
      </c>
      <c r="AA88" s="101">
        <v>38179.32</v>
      </c>
      <c r="AB88" s="101">
        <v>0</v>
      </c>
      <c r="AC88" s="101">
        <v>0</v>
      </c>
      <c r="AD88" s="101">
        <v>0</v>
      </c>
      <c r="AE88" s="101">
        <v>1198370.8799999999</v>
      </c>
      <c r="AF88" s="101">
        <v>338683.13</v>
      </c>
      <c r="AG88" s="101">
        <v>42874</v>
      </c>
      <c r="AH88" s="101">
        <v>63388</v>
      </c>
      <c r="AI88" s="101">
        <v>2429132.17</v>
      </c>
      <c r="AJ88" s="101">
        <v>4531781.9400000013</v>
      </c>
      <c r="AK88" s="101">
        <v>1622302.04</v>
      </c>
      <c r="AL88" s="101">
        <v>2526394.15</v>
      </c>
      <c r="AM88" s="101">
        <v>650928.14</v>
      </c>
      <c r="AN88" s="101">
        <v>2005387.7899999991</v>
      </c>
      <c r="AO88" s="101">
        <v>1350359.72</v>
      </c>
      <c r="AP88" s="101">
        <v>33977.94</v>
      </c>
      <c r="AQ88" s="101">
        <v>0</v>
      </c>
      <c r="AR88" s="101">
        <v>0</v>
      </c>
      <c r="AS88" s="101">
        <v>0</v>
      </c>
      <c r="AT88" s="101">
        <v>621050.13</v>
      </c>
      <c r="AU88" s="101">
        <v>197063.94</v>
      </c>
    </row>
    <row r="89" spans="1:47">
      <c r="A89" s="102" t="s">
        <v>413</v>
      </c>
      <c r="B89" s="102" t="s">
        <v>95</v>
      </c>
      <c r="C89" s="101">
        <v>24498.85</v>
      </c>
      <c r="D89" s="101">
        <v>34980</v>
      </c>
      <c r="E89" s="101">
        <v>2140024.19</v>
      </c>
      <c r="F89" s="101">
        <v>2855623.72</v>
      </c>
      <c r="G89" s="101">
        <v>548859.03</v>
      </c>
      <c r="H89" s="101">
        <v>1557202.19</v>
      </c>
      <c r="I89" s="101">
        <v>472038.25</v>
      </c>
      <c r="J89" s="101">
        <v>1298421.53</v>
      </c>
      <c r="K89" s="101">
        <v>913505.53</v>
      </c>
      <c r="L89" s="101">
        <v>15932</v>
      </c>
      <c r="M89" s="101">
        <v>0</v>
      </c>
      <c r="N89" s="101">
        <v>0</v>
      </c>
      <c r="O89" s="101">
        <v>0</v>
      </c>
      <c r="P89" s="101">
        <v>368984</v>
      </c>
      <c r="Q89" s="101">
        <v>125647.45</v>
      </c>
      <c r="R89" s="101">
        <v>41861.24</v>
      </c>
      <c r="S89" s="101">
        <v>60225</v>
      </c>
      <c r="T89" s="101">
        <v>3657242.68</v>
      </c>
      <c r="U89" s="101">
        <v>4915918.4900000012</v>
      </c>
      <c r="V89" s="101">
        <v>956394.44</v>
      </c>
      <c r="W89" s="101">
        <v>2642468.9300000011</v>
      </c>
      <c r="X89" s="101">
        <v>807655.32</v>
      </c>
      <c r="Y89" s="101">
        <v>2273449.56</v>
      </c>
      <c r="Z89" s="101">
        <v>1566009.48</v>
      </c>
      <c r="AA89" s="101">
        <v>27312</v>
      </c>
      <c r="AB89" s="101">
        <v>0</v>
      </c>
      <c r="AC89" s="101">
        <v>0</v>
      </c>
      <c r="AD89" s="101">
        <v>0</v>
      </c>
      <c r="AE89" s="101">
        <v>680128.08</v>
      </c>
      <c r="AF89" s="101">
        <v>216300.42</v>
      </c>
      <c r="AG89" s="101">
        <v>24501.17</v>
      </c>
      <c r="AH89" s="101">
        <v>34980</v>
      </c>
      <c r="AI89" s="101">
        <v>1975918.14</v>
      </c>
      <c r="AJ89" s="101">
        <v>2674462.350000001</v>
      </c>
      <c r="AK89" s="101">
        <v>560407.57999999996</v>
      </c>
      <c r="AL89" s="101">
        <v>1538224.67</v>
      </c>
      <c r="AM89" s="101">
        <v>429156.51</v>
      </c>
      <c r="AN89" s="101">
        <v>1136237.68</v>
      </c>
      <c r="AO89" s="101">
        <v>917282.38</v>
      </c>
      <c r="AP89" s="101">
        <v>15932.12</v>
      </c>
      <c r="AQ89" s="101">
        <v>0</v>
      </c>
      <c r="AR89" s="101">
        <v>0</v>
      </c>
      <c r="AS89" s="101">
        <v>0</v>
      </c>
      <c r="AT89" s="101">
        <v>203023.18</v>
      </c>
      <c r="AU89" s="101">
        <v>116685.38</v>
      </c>
    </row>
    <row r="90" spans="1:47">
      <c r="A90" s="102" t="s">
        <v>400</v>
      </c>
      <c r="B90" s="102" t="s">
        <v>86</v>
      </c>
      <c r="C90" s="101">
        <v>47054.239999999998</v>
      </c>
      <c r="D90" s="101">
        <v>54272</v>
      </c>
      <c r="E90" s="101">
        <v>4874336.71</v>
      </c>
      <c r="F90" s="101">
        <v>6202789.0700000003</v>
      </c>
      <c r="G90" s="101">
        <v>1003298.49</v>
      </c>
      <c r="H90" s="101">
        <v>2749656.89</v>
      </c>
      <c r="I90" s="101">
        <v>758531.24</v>
      </c>
      <c r="J90" s="101">
        <v>3453132.1800000011</v>
      </c>
      <c r="K90" s="101">
        <v>1557797.36</v>
      </c>
      <c r="L90" s="101">
        <v>27552</v>
      </c>
      <c r="M90" s="101">
        <v>0</v>
      </c>
      <c r="N90" s="101">
        <v>0</v>
      </c>
      <c r="O90" s="101">
        <v>0</v>
      </c>
      <c r="P90" s="101">
        <v>1867782.82</v>
      </c>
      <c r="Q90" s="101">
        <v>272922.71999999997</v>
      </c>
      <c r="R90" s="101">
        <v>81932.09</v>
      </c>
      <c r="S90" s="101">
        <v>93440</v>
      </c>
      <c r="T90" s="101">
        <v>8771620.9199999999</v>
      </c>
      <c r="U90" s="101">
        <v>11225857.83</v>
      </c>
      <c r="V90" s="101">
        <v>1849940.82</v>
      </c>
      <c r="W90" s="101">
        <v>4785747.2000000011</v>
      </c>
      <c r="X90" s="101">
        <v>1304562.1499999999</v>
      </c>
      <c r="Y90" s="101">
        <v>6440110.6300000008</v>
      </c>
      <c r="Z90" s="101">
        <v>2666716.56</v>
      </c>
      <c r="AA90" s="101">
        <v>47232</v>
      </c>
      <c r="AB90" s="101">
        <v>0</v>
      </c>
      <c r="AC90" s="101">
        <v>0</v>
      </c>
      <c r="AD90" s="101">
        <v>0</v>
      </c>
      <c r="AE90" s="101">
        <v>3726162.0700000012</v>
      </c>
      <c r="AF90" s="101">
        <v>493937.75</v>
      </c>
      <c r="AG90" s="101">
        <v>48144</v>
      </c>
      <c r="AH90" s="101">
        <v>54272</v>
      </c>
      <c r="AI90" s="101">
        <v>5065943.97</v>
      </c>
      <c r="AJ90" s="101">
        <v>6273120.2100000009</v>
      </c>
      <c r="AK90" s="101">
        <v>932598.63</v>
      </c>
      <c r="AL90" s="101">
        <v>2792206.65</v>
      </c>
      <c r="AM90" s="101">
        <v>713071.92</v>
      </c>
      <c r="AN90" s="101">
        <v>3480913.560000001</v>
      </c>
      <c r="AO90" s="101">
        <v>1534130.22</v>
      </c>
      <c r="AP90" s="101">
        <v>27253.59</v>
      </c>
      <c r="AQ90" s="101">
        <v>0</v>
      </c>
      <c r="AR90" s="101">
        <v>0</v>
      </c>
      <c r="AS90" s="101">
        <v>0</v>
      </c>
      <c r="AT90" s="101">
        <v>1919529.7499999991</v>
      </c>
      <c r="AU90" s="101">
        <v>270827.33</v>
      </c>
    </row>
    <row r="91" spans="1:47">
      <c r="A91" s="102" t="s">
        <v>399</v>
      </c>
      <c r="B91" s="102" t="s">
        <v>85</v>
      </c>
      <c r="C91" s="101">
        <v>11657.63</v>
      </c>
      <c r="D91" s="101">
        <v>13780</v>
      </c>
      <c r="E91" s="101">
        <v>1352368.17</v>
      </c>
      <c r="F91" s="101">
        <v>1536421.22</v>
      </c>
      <c r="G91" s="101">
        <v>152563.99</v>
      </c>
      <c r="H91" s="101">
        <v>728054.29</v>
      </c>
      <c r="I91" s="101">
        <v>253102.54</v>
      </c>
      <c r="J91" s="101">
        <v>808366.93</v>
      </c>
      <c r="K91" s="101">
        <v>422486.97</v>
      </c>
      <c r="L91" s="101">
        <v>2702.49</v>
      </c>
      <c r="M91" s="101">
        <v>0</v>
      </c>
      <c r="N91" s="101">
        <v>0</v>
      </c>
      <c r="O91" s="101">
        <v>0</v>
      </c>
      <c r="P91" s="101">
        <v>383177.47</v>
      </c>
      <c r="Q91" s="101">
        <v>67602.55</v>
      </c>
      <c r="R91" s="101">
        <v>20576.400000000001</v>
      </c>
      <c r="S91" s="101">
        <v>23725</v>
      </c>
      <c r="T91" s="101">
        <v>2354344.87</v>
      </c>
      <c r="U91" s="101">
        <v>2685452.21</v>
      </c>
      <c r="V91" s="101">
        <v>276634.56</v>
      </c>
      <c r="W91" s="101">
        <v>1249220.21</v>
      </c>
      <c r="X91" s="101">
        <v>424062.78</v>
      </c>
      <c r="Y91" s="101">
        <v>1436232</v>
      </c>
      <c r="Z91" s="101">
        <v>738480.2</v>
      </c>
      <c r="AA91" s="101">
        <v>4632.84</v>
      </c>
      <c r="AB91" s="101">
        <v>0</v>
      </c>
      <c r="AC91" s="101">
        <v>0</v>
      </c>
      <c r="AD91" s="101">
        <v>0</v>
      </c>
      <c r="AE91" s="101">
        <v>693118.96</v>
      </c>
      <c r="AF91" s="101">
        <v>118159.91</v>
      </c>
      <c r="AG91" s="101">
        <v>11417</v>
      </c>
      <c r="AH91" s="101">
        <v>13780</v>
      </c>
      <c r="AI91" s="101">
        <v>1335721.76</v>
      </c>
      <c r="AJ91" s="101">
        <v>1532968.74</v>
      </c>
      <c r="AK91" s="101">
        <v>150859.19</v>
      </c>
      <c r="AL91" s="101">
        <v>722833.94</v>
      </c>
      <c r="AM91" s="101">
        <v>239005.76</v>
      </c>
      <c r="AN91" s="101">
        <v>810134.8</v>
      </c>
      <c r="AO91" s="101">
        <v>420799.68</v>
      </c>
      <c r="AP91" s="101">
        <v>2702.56</v>
      </c>
      <c r="AQ91" s="101">
        <v>0</v>
      </c>
      <c r="AR91" s="101">
        <v>0</v>
      </c>
      <c r="AS91" s="101">
        <v>0</v>
      </c>
      <c r="AT91" s="101">
        <v>386632.56</v>
      </c>
      <c r="AU91" s="101">
        <v>67136.639999999999</v>
      </c>
    </row>
    <row r="92" spans="1:47">
      <c r="A92" s="102" t="s">
        <v>999</v>
      </c>
      <c r="B92" s="102" t="e">
        <v>#N/A</v>
      </c>
      <c r="C92" s="101">
        <v>195050.35</v>
      </c>
      <c r="D92" s="101">
        <v>269876</v>
      </c>
      <c r="E92" s="101">
        <v>15835302.300000003</v>
      </c>
      <c r="F92" s="101">
        <v>22533328.870000001</v>
      </c>
      <c r="G92" s="101">
        <v>5180262.75</v>
      </c>
      <c r="H92" s="101">
        <v>11965153.52</v>
      </c>
      <c r="I92" s="101">
        <v>3480416.36</v>
      </c>
      <c r="J92" s="101">
        <v>10568175.350000003</v>
      </c>
      <c r="K92" s="101">
        <v>5428530.6399999997</v>
      </c>
      <c r="L92" s="101">
        <v>88320.61</v>
      </c>
      <c r="M92" s="101">
        <v>0</v>
      </c>
      <c r="N92" s="101">
        <v>0</v>
      </c>
      <c r="O92" s="101">
        <v>0</v>
      </c>
      <c r="P92" s="101">
        <v>5051324.1000000034</v>
      </c>
      <c r="Q92" s="101">
        <v>991466.48</v>
      </c>
      <c r="R92" s="101">
        <v>335015.25</v>
      </c>
      <c r="S92" s="101">
        <v>464645</v>
      </c>
      <c r="T92" s="101">
        <v>27682960.809999999</v>
      </c>
      <c r="U92" s="101">
        <v>39716366.840000011</v>
      </c>
      <c r="V92" s="101">
        <v>9226721.1699999999</v>
      </c>
      <c r="W92" s="101">
        <v>20629010.129999999</v>
      </c>
      <c r="X92" s="101">
        <v>5927124.1699999999</v>
      </c>
      <c r="Y92" s="101">
        <v>19087356.709999997</v>
      </c>
      <c r="Z92" s="101">
        <v>9338305.5600000024</v>
      </c>
      <c r="AA92" s="101">
        <v>151406.76</v>
      </c>
      <c r="AB92" s="101">
        <v>0</v>
      </c>
      <c r="AC92" s="101">
        <v>0</v>
      </c>
      <c r="AD92" s="101">
        <v>0</v>
      </c>
      <c r="AE92" s="101">
        <v>9597644.3899999969</v>
      </c>
      <c r="AF92" s="101">
        <v>1747520.14</v>
      </c>
      <c r="AG92" s="101">
        <v>204720.99</v>
      </c>
      <c r="AH92" s="101">
        <v>269876</v>
      </c>
      <c r="AI92" s="101">
        <v>15939494.529999999</v>
      </c>
      <c r="AJ92" s="101">
        <v>22506077.480000004</v>
      </c>
      <c r="AK92" s="101">
        <v>5084516.87</v>
      </c>
      <c r="AL92" s="101">
        <v>12110696.869999999</v>
      </c>
      <c r="AM92" s="101">
        <v>3191892.1900000009</v>
      </c>
      <c r="AN92" s="101">
        <v>10395380.609999998</v>
      </c>
      <c r="AO92" s="101">
        <v>5389878.7000000011</v>
      </c>
      <c r="AP92" s="101">
        <v>100354.36</v>
      </c>
      <c r="AQ92" s="101">
        <v>0</v>
      </c>
      <c r="AR92" s="101">
        <v>0</v>
      </c>
      <c r="AS92" s="101">
        <v>0</v>
      </c>
      <c r="AT92" s="101">
        <v>4905147.55</v>
      </c>
      <c r="AU92" s="101">
        <v>975909.33</v>
      </c>
    </row>
    <row r="93" spans="1:47">
      <c r="A93" s="102" t="s">
        <v>451</v>
      </c>
      <c r="B93" s="102" t="s">
        <v>123</v>
      </c>
      <c r="C93" s="101">
        <v>27697.57</v>
      </c>
      <c r="D93" s="101">
        <v>36888</v>
      </c>
      <c r="E93" s="101">
        <v>2757068.97</v>
      </c>
      <c r="F93" s="101">
        <v>4179728.6300000008</v>
      </c>
      <c r="G93" s="101">
        <v>1099663.22</v>
      </c>
      <c r="H93" s="101">
        <v>2244977.66</v>
      </c>
      <c r="I93" s="101">
        <v>716328.63</v>
      </c>
      <c r="J93" s="101">
        <v>1934750.97</v>
      </c>
      <c r="K93" s="101">
        <v>1125404</v>
      </c>
      <c r="L93" s="101">
        <v>39568.83</v>
      </c>
      <c r="M93" s="101">
        <v>0</v>
      </c>
      <c r="N93" s="101">
        <v>0</v>
      </c>
      <c r="O93" s="101">
        <v>0</v>
      </c>
      <c r="P93" s="101">
        <v>769778.14</v>
      </c>
      <c r="Q93" s="101">
        <v>183908.06</v>
      </c>
      <c r="R93" s="101">
        <v>49211.040000000001</v>
      </c>
      <c r="S93" s="101">
        <v>63510</v>
      </c>
      <c r="T93" s="101">
        <v>4797317.38</v>
      </c>
      <c r="U93" s="101">
        <v>7638492.4300000006</v>
      </c>
      <c r="V93" s="101">
        <v>2110614.0499999998</v>
      </c>
      <c r="W93" s="101">
        <v>3928383.1300000022</v>
      </c>
      <c r="X93" s="101">
        <v>1212199.24</v>
      </c>
      <c r="Y93" s="101">
        <v>3710109.2999999989</v>
      </c>
      <c r="Z93" s="101">
        <v>1917807</v>
      </c>
      <c r="AA93" s="101">
        <v>67832.28</v>
      </c>
      <c r="AB93" s="101">
        <v>0</v>
      </c>
      <c r="AC93" s="101">
        <v>0</v>
      </c>
      <c r="AD93" s="101">
        <v>0</v>
      </c>
      <c r="AE93" s="101">
        <v>1724470.0199999991</v>
      </c>
      <c r="AF93" s="101">
        <v>336093.67</v>
      </c>
      <c r="AG93" s="101">
        <v>28754</v>
      </c>
      <c r="AH93" s="101">
        <v>36888</v>
      </c>
      <c r="AI93" s="101">
        <v>2790028.73</v>
      </c>
      <c r="AJ93" s="101">
        <v>4251074.5999999996</v>
      </c>
      <c r="AK93" s="101">
        <v>1120839.45</v>
      </c>
      <c r="AL93" s="101">
        <v>2282821.9400000009</v>
      </c>
      <c r="AM93" s="101">
        <v>677426.59</v>
      </c>
      <c r="AN93" s="101">
        <v>1968252.6599999981</v>
      </c>
      <c r="AO93" s="101">
        <v>1115102.1000000001</v>
      </c>
      <c r="AP93" s="101">
        <v>39568.9</v>
      </c>
      <c r="AQ93" s="101">
        <v>0</v>
      </c>
      <c r="AR93" s="101">
        <v>0</v>
      </c>
      <c r="AS93" s="101">
        <v>0</v>
      </c>
      <c r="AT93" s="101">
        <v>813581.66</v>
      </c>
      <c r="AU93" s="101">
        <v>185290.32</v>
      </c>
    </row>
    <row r="94" spans="1:47">
      <c r="A94" s="102" t="s">
        <v>453</v>
      </c>
      <c r="B94" s="102" t="s">
        <v>125</v>
      </c>
      <c r="C94" s="101">
        <v>13542.62</v>
      </c>
      <c r="D94" s="101">
        <v>24168</v>
      </c>
      <c r="E94" s="101">
        <v>593285.5</v>
      </c>
      <c r="F94" s="101">
        <v>936405.59</v>
      </c>
      <c r="G94" s="101">
        <v>305137.89</v>
      </c>
      <c r="H94" s="101">
        <v>863230.6</v>
      </c>
      <c r="I94" s="101">
        <v>282459.45</v>
      </c>
      <c r="J94" s="101">
        <v>73174.990000000005</v>
      </c>
      <c r="K94" s="101">
        <v>343145.88</v>
      </c>
      <c r="L94" s="101">
        <v>5747</v>
      </c>
      <c r="M94" s="101">
        <v>0</v>
      </c>
      <c r="N94" s="101">
        <v>0</v>
      </c>
      <c r="O94" s="101">
        <v>0</v>
      </c>
      <c r="P94" s="101">
        <v>-275717.89</v>
      </c>
      <c r="Q94" s="101">
        <v>41201.85</v>
      </c>
      <c r="R94" s="101">
        <v>22224.34</v>
      </c>
      <c r="S94" s="101">
        <v>41610</v>
      </c>
      <c r="T94" s="101">
        <v>990173.53</v>
      </c>
      <c r="U94" s="101">
        <v>1593234.14</v>
      </c>
      <c r="V94" s="101">
        <v>534908.87</v>
      </c>
      <c r="W94" s="101">
        <v>1467506.17</v>
      </c>
      <c r="X94" s="101">
        <v>487164.22</v>
      </c>
      <c r="Y94" s="101">
        <v>125727.97</v>
      </c>
      <c r="Z94" s="101">
        <v>584756.17000000004</v>
      </c>
      <c r="AA94" s="101">
        <v>9852</v>
      </c>
      <c r="AB94" s="101">
        <v>0</v>
      </c>
      <c r="AC94" s="101">
        <v>0</v>
      </c>
      <c r="AD94" s="101">
        <v>0</v>
      </c>
      <c r="AE94" s="101">
        <v>-468880.2</v>
      </c>
      <c r="AF94" s="101">
        <v>70102.31</v>
      </c>
      <c r="AG94" s="101">
        <v>13973</v>
      </c>
      <c r="AH94" s="101">
        <v>24168</v>
      </c>
      <c r="AI94" s="101">
        <v>614734.11</v>
      </c>
      <c r="AJ94" s="101">
        <v>957089.97</v>
      </c>
      <c r="AK94" s="101">
        <v>309796.78999999998</v>
      </c>
      <c r="AL94" s="101">
        <v>835178.86</v>
      </c>
      <c r="AM94" s="101">
        <v>277002.86</v>
      </c>
      <c r="AN94" s="101">
        <v>121911.11</v>
      </c>
      <c r="AO94" s="101">
        <v>341054.42</v>
      </c>
      <c r="AP94" s="101">
        <v>6128.22</v>
      </c>
      <c r="AQ94" s="101">
        <v>0</v>
      </c>
      <c r="AR94" s="101">
        <v>0</v>
      </c>
      <c r="AS94" s="101">
        <v>0</v>
      </c>
      <c r="AT94" s="101">
        <v>-225271.53</v>
      </c>
      <c r="AU94" s="101">
        <v>41545.760000000002</v>
      </c>
    </row>
    <row r="95" spans="1:47">
      <c r="A95" s="102" t="s">
        <v>422</v>
      </c>
      <c r="B95" s="102" t="s">
        <v>102</v>
      </c>
      <c r="C95" s="101">
        <v>14279.44</v>
      </c>
      <c r="D95" s="101">
        <v>21836</v>
      </c>
      <c r="E95" s="101">
        <v>1071876</v>
      </c>
      <c r="F95" s="101">
        <v>1258637.1499999999</v>
      </c>
      <c r="G95" s="101">
        <v>155126.06</v>
      </c>
      <c r="H95" s="101">
        <v>664160.31999999995</v>
      </c>
      <c r="I95" s="101">
        <v>217305.31</v>
      </c>
      <c r="J95" s="101">
        <v>594476.82999999996</v>
      </c>
      <c r="K95" s="101">
        <v>235200</v>
      </c>
      <c r="L95" s="101">
        <v>5530</v>
      </c>
      <c r="M95" s="101">
        <v>0</v>
      </c>
      <c r="N95" s="101">
        <v>0</v>
      </c>
      <c r="O95" s="101">
        <v>0</v>
      </c>
      <c r="P95" s="101">
        <v>353746.83</v>
      </c>
      <c r="Q95" s="101">
        <v>55380.04</v>
      </c>
      <c r="R95" s="101">
        <v>25342.79</v>
      </c>
      <c r="S95" s="101">
        <v>37595</v>
      </c>
      <c r="T95" s="101">
        <v>1883466.95</v>
      </c>
      <c r="U95" s="101">
        <v>2212483.5299999998</v>
      </c>
      <c r="V95" s="101">
        <v>273730.89</v>
      </c>
      <c r="W95" s="101">
        <v>1140048.8500000001</v>
      </c>
      <c r="X95" s="101">
        <v>365101.98</v>
      </c>
      <c r="Y95" s="101">
        <v>1072434.68</v>
      </c>
      <c r="Z95" s="101">
        <v>403211</v>
      </c>
      <c r="AA95" s="101">
        <v>9480</v>
      </c>
      <c r="AB95" s="101">
        <v>0</v>
      </c>
      <c r="AC95" s="101">
        <v>0</v>
      </c>
      <c r="AD95" s="101">
        <v>0</v>
      </c>
      <c r="AE95" s="101">
        <v>659743.68000000005</v>
      </c>
      <c r="AF95" s="101">
        <v>97349.28</v>
      </c>
      <c r="AG95" s="101">
        <v>12722</v>
      </c>
      <c r="AH95" s="101">
        <v>21836</v>
      </c>
      <c r="AI95" s="101">
        <v>967520.69</v>
      </c>
      <c r="AJ95" s="101">
        <v>1124186.6100000001</v>
      </c>
      <c r="AK95" s="101">
        <v>130967.96</v>
      </c>
      <c r="AL95" s="101">
        <v>595424.81000000006</v>
      </c>
      <c r="AM95" s="101">
        <v>183633.56</v>
      </c>
      <c r="AN95" s="101">
        <v>528761.80000000005</v>
      </c>
      <c r="AO95" s="101">
        <v>235200</v>
      </c>
      <c r="AP95" s="101">
        <v>5530</v>
      </c>
      <c r="AQ95" s="101">
        <v>0</v>
      </c>
      <c r="AR95" s="101">
        <v>0</v>
      </c>
      <c r="AS95" s="101">
        <v>0</v>
      </c>
      <c r="AT95" s="101">
        <v>288031.8</v>
      </c>
      <c r="AU95" s="101">
        <v>49201.47</v>
      </c>
    </row>
    <row r="96" spans="1:47">
      <c r="A96" s="102" t="s">
        <v>430</v>
      </c>
      <c r="B96" s="102" t="s">
        <v>108</v>
      </c>
      <c r="C96" s="101">
        <v>27626.21</v>
      </c>
      <c r="D96" s="101">
        <v>44096</v>
      </c>
      <c r="E96" s="101">
        <v>1932487.86</v>
      </c>
      <c r="F96" s="101">
        <v>3156957.3600000008</v>
      </c>
      <c r="G96" s="101">
        <v>967436.54</v>
      </c>
      <c r="H96" s="101">
        <v>1935425.22</v>
      </c>
      <c r="I96" s="101">
        <v>636683.63</v>
      </c>
      <c r="J96" s="101">
        <v>1221532.1399999999</v>
      </c>
      <c r="K96" s="101">
        <v>863391.74</v>
      </c>
      <c r="L96" s="101">
        <v>20641.88</v>
      </c>
      <c r="M96" s="101">
        <v>0</v>
      </c>
      <c r="N96" s="101">
        <v>0</v>
      </c>
      <c r="O96" s="101">
        <v>0</v>
      </c>
      <c r="P96" s="101">
        <v>337498.52</v>
      </c>
      <c r="Q96" s="101">
        <v>138906.10999999999</v>
      </c>
      <c r="R96" s="101">
        <v>48276.34</v>
      </c>
      <c r="S96" s="101">
        <v>75920</v>
      </c>
      <c r="T96" s="101">
        <v>3392721.93</v>
      </c>
      <c r="U96" s="101">
        <v>5576163.3499999996</v>
      </c>
      <c r="V96" s="101">
        <v>1740839.21</v>
      </c>
      <c r="W96" s="101">
        <v>3360360.66</v>
      </c>
      <c r="X96" s="101">
        <v>1079763.82</v>
      </c>
      <c r="Y96" s="101">
        <v>2215802.69</v>
      </c>
      <c r="Z96" s="101">
        <v>1478233.68</v>
      </c>
      <c r="AA96" s="101">
        <v>35386.080000000002</v>
      </c>
      <c r="AB96" s="101">
        <v>0</v>
      </c>
      <c r="AC96" s="101">
        <v>0</v>
      </c>
      <c r="AD96" s="101">
        <v>0</v>
      </c>
      <c r="AE96" s="101">
        <v>702182.93</v>
      </c>
      <c r="AF96" s="101">
        <v>245351.18</v>
      </c>
      <c r="AG96" s="101">
        <v>31201</v>
      </c>
      <c r="AH96" s="101">
        <v>44096</v>
      </c>
      <c r="AI96" s="101">
        <v>2062124.07</v>
      </c>
      <c r="AJ96" s="101">
        <v>3266222.81</v>
      </c>
      <c r="AK96" s="101">
        <v>948914.69</v>
      </c>
      <c r="AL96" s="101">
        <v>2056756.33</v>
      </c>
      <c r="AM96" s="101">
        <v>604248.68999999994</v>
      </c>
      <c r="AN96" s="101">
        <v>1209466.48</v>
      </c>
      <c r="AO96" s="101">
        <v>867639.59</v>
      </c>
      <c r="AP96" s="101">
        <v>20641.88</v>
      </c>
      <c r="AQ96" s="101">
        <v>0</v>
      </c>
      <c r="AR96" s="101">
        <v>0</v>
      </c>
      <c r="AS96" s="101">
        <v>0</v>
      </c>
      <c r="AT96" s="101">
        <v>321185.01</v>
      </c>
      <c r="AU96" s="101">
        <v>142144.01</v>
      </c>
    </row>
    <row r="97" spans="1:47">
      <c r="A97" s="102" t="s">
        <v>471</v>
      </c>
      <c r="B97" s="102" t="s">
        <v>472</v>
      </c>
      <c r="C97" s="101">
        <v>17221.8</v>
      </c>
      <c r="D97" s="101">
        <v>25652</v>
      </c>
      <c r="E97" s="101">
        <v>1065666.81</v>
      </c>
      <c r="F97" s="101">
        <v>1658230.06</v>
      </c>
      <c r="G97" s="101">
        <v>493375.88</v>
      </c>
      <c r="H97" s="101">
        <v>1272483.75</v>
      </c>
      <c r="I97" s="101">
        <v>521832.52</v>
      </c>
      <c r="J97" s="101">
        <v>385746.31</v>
      </c>
      <c r="K97" s="101">
        <v>0</v>
      </c>
      <c r="L97" s="101">
        <v>15204</v>
      </c>
      <c r="M97" s="101">
        <v>0</v>
      </c>
      <c r="N97" s="101">
        <v>0</v>
      </c>
      <c r="O97" s="101">
        <v>0</v>
      </c>
      <c r="P97" s="101">
        <v>370542.31</v>
      </c>
      <c r="Q97" s="101">
        <v>72962.12</v>
      </c>
      <c r="R97" s="101">
        <v>29728.42</v>
      </c>
      <c r="S97" s="101">
        <v>44165</v>
      </c>
      <c r="T97" s="101">
        <v>1817079.51</v>
      </c>
      <c r="U97" s="101">
        <v>2857393.66</v>
      </c>
      <c r="V97" s="101">
        <v>876479.93</v>
      </c>
      <c r="W97" s="101">
        <v>2148268.02</v>
      </c>
      <c r="X97" s="101">
        <v>873338.22</v>
      </c>
      <c r="Y97" s="101">
        <v>709125.64</v>
      </c>
      <c r="Z97" s="101">
        <v>0</v>
      </c>
      <c r="AA97" s="101">
        <v>26064</v>
      </c>
      <c r="AB97" s="101">
        <v>0</v>
      </c>
      <c r="AC97" s="101">
        <v>0</v>
      </c>
      <c r="AD97" s="101">
        <v>0</v>
      </c>
      <c r="AE97" s="101">
        <v>683061.64</v>
      </c>
      <c r="AF97" s="101">
        <v>125725.3</v>
      </c>
      <c r="AG97" s="101">
        <v>18276</v>
      </c>
      <c r="AH97" s="101">
        <v>25652</v>
      </c>
      <c r="AI97" s="101">
        <v>1095628.1399999999</v>
      </c>
      <c r="AJ97" s="101">
        <v>1600409.14</v>
      </c>
      <c r="AK97" s="101">
        <v>415949.78</v>
      </c>
      <c r="AL97" s="101">
        <v>1217248.1100000001</v>
      </c>
      <c r="AM97" s="101">
        <v>494186.08</v>
      </c>
      <c r="AN97" s="101">
        <v>383161.03</v>
      </c>
      <c r="AO97" s="101">
        <v>0</v>
      </c>
      <c r="AP97" s="101">
        <v>11974.42</v>
      </c>
      <c r="AQ97" s="101">
        <v>0</v>
      </c>
      <c r="AR97" s="101">
        <v>0</v>
      </c>
      <c r="AS97" s="101">
        <v>0</v>
      </c>
      <c r="AT97" s="101">
        <v>371186.61</v>
      </c>
      <c r="AU97" s="101">
        <v>69580.78</v>
      </c>
    </row>
    <row r="98" spans="1:47">
      <c r="A98" s="102" t="s">
        <v>457</v>
      </c>
      <c r="B98" s="102" t="s">
        <v>129</v>
      </c>
      <c r="C98" s="101">
        <v>26118.27</v>
      </c>
      <c r="D98" s="101">
        <v>39644</v>
      </c>
      <c r="E98" s="101">
        <v>1447820.3</v>
      </c>
      <c r="F98" s="101">
        <v>2281999.06</v>
      </c>
      <c r="G98" s="101">
        <v>740198.21</v>
      </c>
      <c r="H98" s="101">
        <v>1568515.26</v>
      </c>
      <c r="I98" s="101">
        <v>551402.43000000005</v>
      </c>
      <c r="J98" s="101">
        <v>713483.8</v>
      </c>
      <c r="K98" s="101">
        <v>654836.91</v>
      </c>
      <c r="L98" s="101">
        <v>12264</v>
      </c>
      <c r="M98" s="101">
        <v>0</v>
      </c>
      <c r="N98" s="101">
        <v>0</v>
      </c>
      <c r="O98" s="101">
        <v>0</v>
      </c>
      <c r="P98" s="101">
        <v>46382.89</v>
      </c>
      <c r="Q98" s="101">
        <v>100407.95</v>
      </c>
      <c r="R98" s="101">
        <v>45284.11</v>
      </c>
      <c r="S98" s="101">
        <v>68255</v>
      </c>
      <c r="T98" s="101">
        <v>2509261.6</v>
      </c>
      <c r="U98" s="101">
        <v>3966329.3400000008</v>
      </c>
      <c r="V98" s="101">
        <v>1296856.97</v>
      </c>
      <c r="W98" s="101">
        <v>2648623.8800000008</v>
      </c>
      <c r="X98" s="101">
        <v>919750.83</v>
      </c>
      <c r="Y98" s="101">
        <v>1317705.4600000009</v>
      </c>
      <c r="Z98" s="101">
        <v>1122577.56</v>
      </c>
      <c r="AA98" s="101">
        <v>21024</v>
      </c>
      <c r="AB98" s="101">
        <v>0</v>
      </c>
      <c r="AC98" s="101">
        <v>0</v>
      </c>
      <c r="AD98" s="101">
        <v>0</v>
      </c>
      <c r="AE98" s="101">
        <v>174103.9</v>
      </c>
      <c r="AF98" s="101">
        <v>174518.5</v>
      </c>
      <c r="AG98" s="101">
        <v>27524</v>
      </c>
      <c r="AH98" s="101">
        <v>39644</v>
      </c>
      <c r="AI98" s="101">
        <v>1536329.19</v>
      </c>
      <c r="AJ98" s="101">
        <v>2380221.3199999998</v>
      </c>
      <c r="AK98" s="101">
        <v>756260.16</v>
      </c>
      <c r="AL98" s="101">
        <v>1581571.13</v>
      </c>
      <c r="AM98" s="101">
        <v>505523.54</v>
      </c>
      <c r="AN98" s="101">
        <v>798650.19</v>
      </c>
      <c r="AO98" s="101">
        <v>654836</v>
      </c>
      <c r="AP98" s="101">
        <v>12264.42</v>
      </c>
      <c r="AQ98" s="101">
        <v>0</v>
      </c>
      <c r="AR98" s="101">
        <v>0</v>
      </c>
      <c r="AS98" s="101">
        <v>0</v>
      </c>
      <c r="AT98" s="101">
        <v>131549.76999999999</v>
      </c>
      <c r="AU98" s="101">
        <v>104439.84</v>
      </c>
    </row>
    <row r="99" spans="1:47">
      <c r="A99" s="102" t="s">
        <v>454</v>
      </c>
      <c r="B99" s="102" t="s">
        <v>126</v>
      </c>
      <c r="C99" s="101">
        <v>19523.400000000001</v>
      </c>
      <c r="D99" s="101">
        <v>27560</v>
      </c>
      <c r="E99" s="101">
        <v>1386176.53</v>
      </c>
      <c r="F99" s="101">
        <v>1708779.77</v>
      </c>
      <c r="G99" s="101">
        <v>246723.19</v>
      </c>
      <c r="H99" s="101">
        <v>871547.67</v>
      </c>
      <c r="I99" s="101">
        <v>246496.98</v>
      </c>
      <c r="J99" s="101">
        <v>837232.1</v>
      </c>
      <c r="K99" s="101">
        <v>445652.03</v>
      </c>
      <c r="L99" s="101">
        <v>7070</v>
      </c>
      <c r="M99" s="101">
        <v>0</v>
      </c>
      <c r="N99" s="101">
        <v>0</v>
      </c>
      <c r="O99" s="101">
        <v>0</v>
      </c>
      <c r="P99" s="101">
        <v>384510.07</v>
      </c>
      <c r="Q99" s="101">
        <v>75186.31</v>
      </c>
      <c r="R99" s="101">
        <v>34274.17</v>
      </c>
      <c r="S99" s="101">
        <v>47450</v>
      </c>
      <c r="T99" s="101">
        <v>2464122.08</v>
      </c>
      <c r="U99" s="101">
        <v>3011145.4400000009</v>
      </c>
      <c r="V99" s="101">
        <v>408808.08</v>
      </c>
      <c r="W99" s="101">
        <v>1492561.58</v>
      </c>
      <c r="X99" s="101">
        <v>420721.93</v>
      </c>
      <c r="Y99" s="101">
        <v>1518583.86</v>
      </c>
      <c r="Z99" s="101">
        <v>762893.43</v>
      </c>
      <c r="AA99" s="101">
        <v>12120</v>
      </c>
      <c r="AB99" s="101">
        <v>0</v>
      </c>
      <c r="AC99" s="101">
        <v>0</v>
      </c>
      <c r="AD99" s="101">
        <v>0</v>
      </c>
      <c r="AE99" s="101">
        <v>743570.43</v>
      </c>
      <c r="AF99" s="101">
        <v>132490.4</v>
      </c>
      <c r="AG99" s="101">
        <v>20061</v>
      </c>
      <c r="AH99" s="101">
        <v>27560</v>
      </c>
      <c r="AI99" s="101">
        <v>1404349.25</v>
      </c>
      <c r="AJ99" s="101">
        <v>1714264.34</v>
      </c>
      <c r="AK99" s="101">
        <v>229348.51</v>
      </c>
      <c r="AL99" s="101">
        <v>919575.71</v>
      </c>
      <c r="AM99" s="101">
        <v>235251.4</v>
      </c>
      <c r="AN99" s="101">
        <v>794688.63</v>
      </c>
      <c r="AO99" s="101">
        <v>447670.76</v>
      </c>
      <c r="AP99" s="101">
        <v>6828.98</v>
      </c>
      <c r="AQ99" s="101">
        <v>0</v>
      </c>
      <c r="AR99" s="101">
        <v>0</v>
      </c>
      <c r="AS99" s="101">
        <v>0</v>
      </c>
      <c r="AT99" s="101">
        <v>340188.89</v>
      </c>
      <c r="AU99" s="101">
        <v>75070.41</v>
      </c>
    </row>
    <row r="100" spans="1:47">
      <c r="A100" s="102" t="s">
        <v>1000</v>
      </c>
      <c r="B100" s="102" t="e">
        <v>#N/A</v>
      </c>
      <c r="C100" s="101">
        <v>146009.31</v>
      </c>
      <c r="D100" s="101">
        <v>219844</v>
      </c>
      <c r="E100" s="101">
        <v>10254381.970000003</v>
      </c>
      <c r="F100" s="101">
        <v>15180737.620000003</v>
      </c>
      <c r="G100" s="101">
        <v>4007660.99</v>
      </c>
      <c r="H100" s="101">
        <v>9420340.4800000004</v>
      </c>
      <c r="I100" s="101">
        <v>3172508.9500000011</v>
      </c>
      <c r="J100" s="101">
        <v>5760397.1399999997</v>
      </c>
      <c r="K100" s="101">
        <v>3667630.56</v>
      </c>
      <c r="L100" s="101">
        <v>106025.71</v>
      </c>
      <c r="M100" s="101">
        <v>0</v>
      </c>
      <c r="N100" s="101">
        <v>0</v>
      </c>
      <c r="O100" s="101">
        <v>0</v>
      </c>
      <c r="P100" s="101">
        <v>1986740.870000001</v>
      </c>
      <c r="Q100" s="101">
        <v>667952.43999999994</v>
      </c>
      <c r="R100" s="101">
        <v>254341.21</v>
      </c>
      <c r="S100" s="101">
        <v>378505</v>
      </c>
      <c r="T100" s="101">
        <v>17854142.98</v>
      </c>
      <c r="U100" s="101">
        <v>26855241.890000001</v>
      </c>
      <c r="V100" s="101">
        <v>7242238</v>
      </c>
      <c r="W100" s="101">
        <v>16185752.289999999</v>
      </c>
      <c r="X100" s="101">
        <v>5358040.2400000012</v>
      </c>
      <c r="Y100" s="101">
        <v>10669489.600000003</v>
      </c>
      <c r="Z100" s="101">
        <v>6269478.8399999999</v>
      </c>
      <c r="AA100" s="101">
        <v>181758.36</v>
      </c>
      <c r="AB100" s="101">
        <v>0</v>
      </c>
      <c r="AC100" s="101">
        <v>0</v>
      </c>
      <c r="AD100" s="101">
        <v>0</v>
      </c>
      <c r="AE100" s="101">
        <v>4218252.4000000032</v>
      </c>
      <c r="AF100" s="101">
        <v>1181630.6399999999</v>
      </c>
      <c r="AG100" s="101">
        <v>152511</v>
      </c>
      <c r="AH100" s="101">
        <v>219844</v>
      </c>
      <c r="AI100" s="101">
        <v>10470714.18</v>
      </c>
      <c r="AJ100" s="101">
        <v>15293468.790000003</v>
      </c>
      <c r="AK100" s="101">
        <v>3912077.3400000008</v>
      </c>
      <c r="AL100" s="101">
        <v>9488576.8900000025</v>
      </c>
      <c r="AM100" s="101">
        <v>2977272.72</v>
      </c>
      <c r="AN100" s="101">
        <v>5804891.9000000022</v>
      </c>
      <c r="AO100" s="101">
        <v>3661502.87</v>
      </c>
      <c r="AP100" s="101">
        <v>102936.82</v>
      </c>
      <c r="AQ100" s="101">
        <v>0</v>
      </c>
      <c r="AR100" s="101">
        <v>0</v>
      </c>
      <c r="AS100" s="101">
        <v>0</v>
      </c>
      <c r="AT100" s="101">
        <v>2040452.2100000009</v>
      </c>
      <c r="AU100" s="101">
        <v>667272.59</v>
      </c>
    </row>
    <row r="101" spans="1:47">
      <c r="A101" s="102" t="s">
        <v>1001</v>
      </c>
      <c r="B101" s="102" t="e">
        <v>#N/A</v>
      </c>
      <c r="C101" s="101">
        <v>425644.66</v>
      </c>
      <c r="D101" s="101">
        <v>600384</v>
      </c>
      <c r="E101" s="101">
        <v>34723855.129374996</v>
      </c>
      <c r="F101" s="101">
        <v>49256542.591562495</v>
      </c>
      <c r="G101" s="101">
        <v>11595534.286875</v>
      </c>
      <c r="H101" s="101">
        <v>28049578.195312507</v>
      </c>
      <c r="I101" s="101">
        <v>9761277.7475000024</v>
      </c>
      <c r="J101" s="101">
        <v>21206964.396250006</v>
      </c>
      <c r="K101" s="101">
        <v>12440616.387499999</v>
      </c>
      <c r="L101" s="101">
        <v>226546.32</v>
      </c>
      <c r="M101" s="101">
        <v>0</v>
      </c>
      <c r="N101" s="101">
        <v>0</v>
      </c>
      <c r="O101" s="101">
        <v>0</v>
      </c>
      <c r="P101" s="101">
        <v>8539801.6887500081</v>
      </c>
      <c r="Q101" s="101">
        <v>2167287.8574999999</v>
      </c>
      <c r="R101" s="101">
        <v>732718.46</v>
      </c>
      <c r="S101" s="101">
        <v>1033680</v>
      </c>
      <c r="T101" s="101">
        <v>59782182.266562499</v>
      </c>
      <c r="U101" s="101">
        <v>85859025.761249989</v>
      </c>
      <c r="V101" s="101">
        <v>20676641.349687506</v>
      </c>
      <c r="W101" s="101">
        <v>48186903.834062509</v>
      </c>
      <c r="X101" s="101">
        <v>16588461.5740625</v>
      </c>
      <c r="Y101" s="101">
        <v>37672121.927187502</v>
      </c>
      <c r="Z101" s="101">
        <v>21320008.024999999</v>
      </c>
      <c r="AA101" s="101">
        <v>388365.12</v>
      </c>
      <c r="AB101" s="101">
        <v>0</v>
      </c>
      <c r="AC101" s="101">
        <v>0</v>
      </c>
      <c r="AD101" s="101">
        <v>0</v>
      </c>
      <c r="AE101" s="101">
        <v>15963748.782187505</v>
      </c>
      <c r="AF101" s="101">
        <v>3777797.1081249998</v>
      </c>
      <c r="AG101" s="101">
        <v>442138.99</v>
      </c>
      <c r="AH101" s="101">
        <v>600384</v>
      </c>
      <c r="AI101" s="101">
        <v>35231465.578270003</v>
      </c>
      <c r="AJ101" s="101">
        <v>49419987.825360015</v>
      </c>
      <c r="AK101" s="101">
        <v>11331060.975565</v>
      </c>
      <c r="AL101" s="101">
        <v>28728089.254955005</v>
      </c>
      <c r="AM101" s="101">
        <v>9480906.3637900036</v>
      </c>
      <c r="AN101" s="101">
        <v>20691898.570404999</v>
      </c>
      <c r="AO101" s="101">
        <v>12592792.397845</v>
      </c>
      <c r="AP101" s="101">
        <v>237528.49685</v>
      </c>
      <c r="AQ101" s="101">
        <v>0</v>
      </c>
      <c r="AR101" s="101">
        <v>0</v>
      </c>
      <c r="AS101" s="101">
        <v>0</v>
      </c>
      <c r="AT101" s="101">
        <v>7861577.6757100001</v>
      </c>
      <c r="AU101" s="101">
        <v>2152790.2076500002</v>
      </c>
    </row>
    <row r="102" spans="1:47">
      <c r="A102" s="102" t="s">
        <v>434</v>
      </c>
      <c r="B102" s="102" t="s">
        <v>112</v>
      </c>
      <c r="C102" s="101">
        <v>28235</v>
      </c>
      <c r="D102" s="101">
        <v>40280</v>
      </c>
      <c r="E102" s="101">
        <v>2010178.68</v>
      </c>
      <c r="F102" s="101">
        <v>2610805.83</v>
      </c>
      <c r="G102" s="101">
        <v>473986.48</v>
      </c>
      <c r="H102" s="101">
        <v>1306822.5</v>
      </c>
      <c r="I102" s="101">
        <v>379657.31</v>
      </c>
      <c r="J102" s="101">
        <v>1303983.33</v>
      </c>
      <c r="K102" s="101">
        <v>1201746</v>
      </c>
      <c r="L102" s="101">
        <v>29057</v>
      </c>
      <c r="M102" s="101">
        <v>0</v>
      </c>
      <c r="N102" s="101">
        <v>0</v>
      </c>
      <c r="O102" s="101">
        <v>0</v>
      </c>
      <c r="P102" s="101">
        <v>73180.33</v>
      </c>
      <c r="Q102" s="101">
        <v>114875.45</v>
      </c>
      <c r="R102" s="101">
        <v>50272</v>
      </c>
      <c r="S102" s="101">
        <v>69350</v>
      </c>
      <c r="T102" s="101">
        <v>3680121.53</v>
      </c>
      <c r="U102" s="101">
        <v>4734406.09</v>
      </c>
      <c r="V102" s="101">
        <v>825454.87</v>
      </c>
      <c r="W102" s="101">
        <v>2276150.59</v>
      </c>
      <c r="X102" s="101">
        <v>660361.47</v>
      </c>
      <c r="Y102" s="101">
        <v>2458255.5000000009</v>
      </c>
      <c r="Z102" s="101">
        <v>2060136</v>
      </c>
      <c r="AA102" s="101">
        <v>49812</v>
      </c>
      <c r="AB102" s="101">
        <v>0</v>
      </c>
      <c r="AC102" s="101">
        <v>0</v>
      </c>
      <c r="AD102" s="101">
        <v>0</v>
      </c>
      <c r="AE102" s="101">
        <v>348307.5</v>
      </c>
      <c r="AF102" s="101">
        <v>208313.87</v>
      </c>
      <c r="AG102" s="101">
        <v>27921</v>
      </c>
      <c r="AH102" s="101">
        <v>40280</v>
      </c>
      <c r="AI102" s="101">
        <v>2035847.7</v>
      </c>
      <c r="AJ102" s="101">
        <v>2525933.16</v>
      </c>
      <c r="AK102" s="101">
        <v>380861.56</v>
      </c>
      <c r="AL102" s="101">
        <v>1308903.44</v>
      </c>
      <c r="AM102" s="101">
        <v>373623.08</v>
      </c>
      <c r="AN102" s="101">
        <v>1217029.72</v>
      </c>
      <c r="AO102" s="101">
        <v>1190580.02</v>
      </c>
      <c r="AP102" s="101">
        <v>32688.32</v>
      </c>
      <c r="AQ102" s="101">
        <v>0</v>
      </c>
      <c r="AR102" s="101">
        <v>0</v>
      </c>
      <c r="AS102" s="101">
        <v>0</v>
      </c>
      <c r="AT102" s="101">
        <v>-6238.62</v>
      </c>
      <c r="AU102" s="101">
        <v>110950.87</v>
      </c>
    </row>
    <row r="103" spans="1:47">
      <c r="A103" s="102" t="s">
        <v>467</v>
      </c>
      <c r="B103" s="102" t="s">
        <v>135</v>
      </c>
      <c r="C103" s="101">
        <v>20845</v>
      </c>
      <c r="D103" s="101">
        <v>36464</v>
      </c>
      <c r="E103" s="101">
        <v>1323381.76</v>
      </c>
      <c r="F103" s="101">
        <v>1951755.27</v>
      </c>
      <c r="G103" s="101">
        <v>519118.49</v>
      </c>
      <c r="H103" s="101">
        <v>1259919.42</v>
      </c>
      <c r="I103" s="101">
        <v>406330.67</v>
      </c>
      <c r="J103" s="101">
        <v>691835.85</v>
      </c>
      <c r="K103" s="101">
        <v>601187.09</v>
      </c>
      <c r="L103" s="101">
        <v>19572</v>
      </c>
      <c r="M103" s="101">
        <v>0</v>
      </c>
      <c r="N103" s="101">
        <v>0</v>
      </c>
      <c r="O103" s="101">
        <v>0</v>
      </c>
      <c r="P103" s="101">
        <v>71076.759999999995</v>
      </c>
      <c r="Q103" s="101">
        <v>85877.23</v>
      </c>
      <c r="R103" s="101">
        <v>38913</v>
      </c>
      <c r="S103" s="101">
        <v>62780</v>
      </c>
      <c r="T103" s="101">
        <v>2471497.4500000002</v>
      </c>
      <c r="U103" s="101">
        <v>3644898.4200000009</v>
      </c>
      <c r="V103" s="101">
        <v>970678.68</v>
      </c>
      <c r="W103" s="101">
        <v>2230644.4300000002</v>
      </c>
      <c r="X103" s="101">
        <v>705145.27</v>
      </c>
      <c r="Y103" s="101">
        <v>1414253.99</v>
      </c>
      <c r="Z103" s="101">
        <v>1030606.44</v>
      </c>
      <c r="AA103" s="101">
        <v>33552</v>
      </c>
      <c r="AB103" s="101">
        <v>0</v>
      </c>
      <c r="AC103" s="101">
        <v>0</v>
      </c>
      <c r="AD103" s="101">
        <v>0</v>
      </c>
      <c r="AE103" s="101">
        <v>350095.55</v>
      </c>
      <c r="AF103" s="101">
        <v>160375.53</v>
      </c>
      <c r="AG103" s="101">
        <v>20336</v>
      </c>
      <c r="AH103" s="101">
        <v>36464</v>
      </c>
      <c r="AI103" s="101">
        <v>1362013.18</v>
      </c>
      <c r="AJ103" s="101">
        <v>1945787.97</v>
      </c>
      <c r="AK103" s="101">
        <v>484863.37</v>
      </c>
      <c r="AL103" s="101">
        <v>1263256.8700000001</v>
      </c>
      <c r="AM103" s="101">
        <v>403982.12</v>
      </c>
      <c r="AN103" s="101">
        <v>682531.1</v>
      </c>
      <c r="AO103" s="101">
        <v>628675.18000000005</v>
      </c>
      <c r="AP103" s="101">
        <v>19567.54</v>
      </c>
      <c r="AQ103" s="101">
        <v>0</v>
      </c>
      <c r="AR103" s="101">
        <v>0</v>
      </c>
      <c r="AS103" s="101">
        <v>0</v>
      </c>
      <c r="AT103" s="101">
        <v>34288.379999999997</v>
      </c>
      <c r="AU103" s="101">
        <v>84725.85</v>
      </c>
    </row>
    <row r="104" spans="1:47">
      <c r="A104" s="102" t="s">
        <v>433</v>
      </c>
      <c r="B104" s="102" t="s">
        <v>111</v>
      </c>
      <c r="C104" s="101">
        <v>31705</v>
      </c>
      <c r="D104" s="101">
        <v>43248</v>
      </c>
      <c r="E104" s="101">
        <v>2431698.46</v>
      </c>
      <c r="F104" s="101">
        <v>3556947.11</v>
      </c>
      <c r="G104" s="101">
        <v>893952.42</v>
      </c>
      <c r="H104" s="101">
        <v>1798332.02</v>
      </c>
      <c r="I104" s="101">
        <v>612840.44999999995</v>
      </c>
      <c r="J104" s="101">
        <v>1758615.09</v>
      </c>
      <c r="K104" s="101">
        <v>1292361</v>
      </c>
      <c r="L104" s="101">
        <v>22925</v>
      </c>
      <c r="M104" s="101">
        <v>0</v>
      </c>
      <c r="N104" s="101">
        <v>0</v>
      </c>
      <c r="O104" s="101">
        <v>0</v>
      </c>
      <c r="P104" s="101">
        <v>443329.09</v>
      </c>
      <c r="Q104" s="101">
        <v>156505.67000000001</v>
      </c>
      <c r="R104" s="101">
        <v>57006</v>
      </c>
      <c r="S104" s="101">
        <v>74460</v>
      </c>
      <c r="T104" s="101">
        <v>4627174.55</v>
      </c>
      <c r="U104" s="101">
        <v>6697167.71</v>
      </c>
      <c r="V104" s="101">
        <v>1623161.25</v>
      </c>
      <c r="W104" s="101">
        <v>3162290.23</v>
      </c>
      <c r="X104" s="101">
        <v>1052327.3600000001</v>
      </c>
      <c r="Y104" s="101">
        <v>3534877.48</v>
      </c>
      <c r="Z104" s="101">
        <v>2215476</v>
      </c>
      <c r="AA104" s="101">
        <v>39300</v>
      </c>
      <c r="AB104" s="101">
        <v>0</v>
      </c>
      <c r="AC104" s="101">
        <v>0</v>
      </c>
      <c r="AD104" s="101">
        <v>0</v>
      </c>
      <c r="AE104" s="101">
        <v>1280101.48</v>
      </c>
      <c r="AF104" s="101">
        <v>294675.39</v>
      </c>
      <c r="AG104" s="101">
        <v>32016</v>
      </c>
      <c r="AH104" s="101">
        <v>43248</v>
      </c>
      <c r="AI104" s="101">
        <v>2543275.2599999998</v>
      </c>
      <c r="AJ104" s="101">
        <v>3550060.8400000008</v>
      </c>
      <c r="AK104" s="101">
        <v>789894.25</v>
      </c>
      <c r="AL104" s="101">
        <v>1756124.29</v>
      </c>
      <c r="AM104" s="101">
        <v>559670.38</v>
      </c>
      <c r="AN104" s="101">
        <v>1793936.550000001</v>
      </c>
      <c r="AO104" s="101">
        <v>1253279.3700000001</v>
      </c>
      <c r="AP104" s="101">
        <v>22925</v>
      </c>
      <c r="AQ104" s="101">
        <v>0</v>
      </c>
      <c r="AR104" s="101">
        <v>0</v>
      </c>
      <c r="AS104" s="101">
        <v>0</v>
      </c>
      <c r="AT104" s="101">
        <v>517732.18</v>
      </c>
      <c r="AU104" s="101">
        <v>154900.72</v>
      </c>
    </row>
    <row r="105" spans="1:47">
      <c r="A105" s="102" t="s">
        <v>447</v>
      </c>
      <c r="B105" s="102" t="s">
        <v>448</v>
      </c>
      <c r="C105" s="101">
        <v>17514.32</v>
      </c>
      <c r="D105" s="101">
        <v>28620</v>
      </c>
      <c r="E105" s="101">
        <v>1100695.8999999999</v>
      </c>
      <c r="F105" s="101">
        <v>1783547.82</v>
      </c>
      <c r="G105" s="101">
        <v>592627.11</v>
      </c>
      <c r="H105" s="101">
        <v>1179878.5900000001</v>
      </c>
      <c r="I105" s="101">
        <v>452557.04</v>
      </c>
      <c r="J105" s="101">
        <v>603669.23</v>
      </c>
      <c r="K105" s="101">
        <v>3881.43</v>
      </c>
      <c r="L105" s="101">
        <v>7434</v>
      </c>
      <c r="M105" s="101">
        <v>0</v>
      </c>
      <c r="N105" s="101">
        <v>0</v>
      </c>
      <c r="O105" s="101">
        <v>0</v>
      </c>
      <c r="P105" s="101">
        <v>592353.80000000005</v>
      </c>
      <c r="Q105" s="101">
        <v>78476.100000000006</v>
      </c>
      <c r="R105" s="101">
        <v>31209.06</v>
      </c>
      <c r="S105" s="101">
        <v>49275</v>
      </c>
      <c r="T105" s="101">
        <v>1961433.23</v>
      </c>
      <c r="U105" s="101">
        <v>3229794.83</v>
      </c>
      <c r="V105" s="101">
        <v>1095053.83</v>
      </c>
      <c r="W105" s="101">
        <v>2052504.7</v>
      </c>
      <c r="X105" s="101">
        <v>789058.03</v>
      </c>
      <c r="Y105" s="101">
        <v>1177290.1299999999</v>
      </c>
      <c r="Z105" s="101">
        <v>6614.36</v>
      </c>
      <c r="AA105" s="101">
        <v>12744</v>
      </c>
      <c r="AB105" s="101">
        <v>0</v>
      </c>
      <c r="AC105" s="101">
        <v>0</v>
      </c>
      <c r="AD105" s="101">
        <v>0</v>
      </c>
      <c r="AE105" s="101">
        <v>1157931.77</v>
      </c>
      <c r="AF105" s="101">
        <v>142110.96</v>
      </c>
      <c r="AG105" s="101">
        <v>16669</v>
      </c>
      <c r="AH105" s="101">
        <v>28620</v>
      </c>
      <c r="AI105" s="101">
        <v>1031853.34</v>
      </c>
      <c r="AJ105" s="101">
        <v>1649801.07</v>
      </c>
      <c r="AK105" s="101">
        <v>540079.18000000005</v>
      </c>
      <c r="AL105" s="101">
        <v>1193026.31</v>
      </c>
      <c r="AM105" s="101">
        <v>439911.35</v>
      </c>
      <c r="AN105" s="101">
        <v>456774.76</v>
      </c>
      <c r="AO105" s="101">
        <v>3914.76</v>
      </c>
      <c r="AP105" s="101">
        <v>7433.51</v>
      </c>
      <c r="AQ105" s="101">
        <v>0</v>
      </c>
      <c r="AR105" s="101">
        <v>0</v>
      </c>
      <c r="AS105" s="101">
        <v>0</v>
      </c>
      <c r="AT105" s="101">
        <v>445426.49</v>
      </c>
      <c r="AU105" s="101">
        <v>71879.87</v>
      </c>
    </row>
    <row r="106" spans="1:47">
      <c r="A106" s="102" t="s">
        <v>473</v>
      </c>
      <c r="B106" s="102" t="s">
        <v>474</v>
      </c>
      <c r="C106" s="101">
        <v>19293.96</v>
      </c>
      <c r="D106" s="101">
        <v>27560</v>
      </c>
      <c r="E106" s="101">
        <v>1304199.7</v>
      </c>
      <c r="F106" s="101">
        <v>2002663.82</v>
      </c>
      <c r="G106" s="101">
        <v>579205.31999999995</v>
      </c>
      <c r="H106" s="101">
        <v>1462896.79</v>
      </c>
      <c r="I106" s="101">
        <v>608028.04</v>
      </c>
      <c r="J106" s="101">
        <v>539767.03</v>
      </c>
      <c r="K106" s="101">
        <v>0</v>
      </c>
      <c r="L106" s="101">
        <v>17700.2</v>
      </c>
      <c r="M106" s="101">
        <v>0</v>
      </c>
      <c r="N106" s="101">
        <v>0</v>
      </c>
      <c r="O106" s="101">
        <v>0</v>
      </c>
      <c r="P106" s="101">
        <v>522066.83</v>
      </c>
      <c r="Q106" s="101">
        <v>88117.2</v>
      </c>
      <c r="R106" s="101">
        <v>33759.760000000002</v>
      </c>
      <c r="S106" s="101">
        <v>47450</v>
      </c>
      <c r="T106" s="101">
        <v>2365432.4300000002</v>
      </c>
      <c r="U106" s="101">
        <v>3644994.72</v>
      </c>
      <c r="V106" s="101">
        <v>1062864.1399999999</v>
      </c>
      <c r="W106" s="101">
        <v>2519463.8000000012</v>
      </c>
      <c r="X106" s="101">
        <v>1040331.08</v>
      </c>
      <c r="Y106" s="101">
        <v>1125530.92</v>
      </c>
      <c r="Z106" s="101">
        <v>0</v>
      </c>
      <c r="AA106" s="101">
        <v>30343.200000000001</v>
      </c>
      <c r="AB106" s="101">
        <v>0</v>
      </c>
      <c r="AC106" s="101">
        <v>0</v>
      </c>
      <c r="AD106" s="101">
        <v>0</v>
      </c>
      <c r="AE106" s="101">
        <v>1095187.7200000009</v>
      </c>
      <c r="AF106" s="101">
        <v>160379.76</v>
      </c>
      <c r="AG106" s="101">
        <v>18411</v>
      </c>
      <c r="AH106" s="101">
        <v>27560</v>
      </c>
      <c r="AI106" s="101">
        <v>1224052.2</v>
      </c>
      <c r="AJ106" s="101">
        <v>1830627.56</v>
      </c>
      <c r="AK106" s="101">
        <v>474426.1</v>
      </c>
      <c r="AL106" s="101">
        <v>1435501.57</v>
      </c>
      <c r="AM106" s="101">
        <v>600689.13</v>
      </c>
      <c r="AN106" s="101">
        <v>395125.99</v>
      </c>
      <c r="AO106" s="101">
        <v>0</v>
      </c>
      <c r="AP106" s="101">
        <v>17700.189999999999</v>
      </c>
      <c r="AQ106" s="101">
        <v>0</v>
      </c>
      <c r="AR106" s="101">
        <v>0</v>
      </c>
      <c r="AS106" s="101">
        <v>0</v>
      </c>
      <c r="AT106" s="101">
        <v>377425.8</v>
      </c>
      <c r="AU106" s="101">
        <v>79702.37</v>
      </c>
    </row>
    <row r="107" spans="1:47">
      <c r="A107" s="102" t="s">
        <v>406</v>
      </c>
      <c r="B107" s="102" t="s">
        <v>90</v>
      </c>
      <c r="C107" s="101">
        <v>29227</v>
      </c>
      <c r="D107" s="101">
        <v>46004</v>
      </c>
      <c r="E107" s="101">
        <v>2365872.12</v>
      </c>
      <c r="F107" s="101">
        <v>3544559</v>
      </c>
      <c r="G107" s="101">
        <v>868686.24</v>
      </c>
      <c r="H107" s="101">
        <v>2106424.88</v>
      </c>
      <c r="I107" s="101">
        <v>641843.68999999994</v>
      </c>
      <c r="J107" s="101">
        <v>1438134.12</v>
      </c>
      <c r="K107" s="101">
        <v>1249840.06</v>
      </c>
      <c r="L107" s="101">
        <v>23275</v>
      </c>
      <c r="M107" s="101">
        <v>0</v>
      </c>
      <c r="N107" s="101">
        <v>0</v>
      </c>
      <c r="O107" s="101">
        <v>0</v>
      </c>
      <c r="P107" s="101">
        <v>165019.06</v>
      </c>
      <c r="Q107" s="101">
        <v>110693.74</v>
      </c>
      <c r="R107" s="101">
        <v>55433</v>
      </c>
      <c r="S107" s="101">
        <v>79205</v>
      </c>
      <c r="T107" s="101">
        <v>4648542.120000001</v>
      </c>
      <c r="U107" s="101">
        <v>6794706.5199999996</v>
      </c>
      <c r="V107" s="101">
        <v>1588048.44</v>
      </c>
      <c r="W107" s="101">
        <v>3681410.2</v>
      </c>
      <c r="X107" s="101">
        <v>1102392.21</v>
      </c>
      <c r="Y107" s="101">
        <v>3113296.32</v>
      </c>
      <c r="Z107" s="101">
        <v>2142582.96</v>
      </c>
      <c r="AA107" s="101">
        <v>39900</v>
      </c>
      <c r="AB107" s="101">
        <v>0</v>
      </c>
      <c r="AC107" s="101">
        <v>0</v>
      </c>
      <c r="AD107" s="101">
        <v>0</v>
      </c>
      <c r="AE107" s="101">
        <v>930813.36</v>
      </c>
      <c r="AF107" s="101">
        <v>226452.42</v>
      </c>
      <c r="AG107" s="101">
        <v>31935</v>
      </c>
      <c r="AH107" s="101">
        <v>46004</v>
      </c>
      <c r="AI107" s="101">
        <v>2517227.27</v>
      </c>
      <c r="AJ107" s="101">
        <v>3685755.7</v>
      </c>
      <c r="AK107" s="101">
        <v>822296.02</v>
      </c>
      <c r="AL107" s="101">
        <v>2186556.12</v>
      </c>
      <c r="AM107" s="101">
        <v>669092.73</v>
      </c>
      <c r="AN107" s="101">
        <v>1499199.580000001</v>
      </c>
      <c r="AO107" s="101">
        <v>1212730.54</v>
      </c>
      <c r="AP107" s="101">
        <v>22589</v>
      </c>
      <c r="AQ107" s="101">
        <v>0</v>
      </c>
      <c r="AR107" s="101">
        <v>0</v>
      </c>
      <c r="AS107" s="101">
        <v>0</v>
      </c>
      <c r="AT107" s="101">
        <v>263880.03999999998</v>
      </c>
      <c r="AU107" s="101">
        <v>115254.32</v>
      </c>
    </row>
    <row r="108" spans="1:47">
      <c r="A108" s="102" t="s">
        <v>1002</v>
      </c>
      <c r="B108" s="102" t="e">
        <v>#N/A</v>
      </c>
      <c r="C108" s="101">
        <v>146820.28</v>
      </c>
      <c r="D108" s="101">
        <v>222176</v>
      </c>
      <c r="E108" s="101">
        <v>10536026.619999999</v>
      </c>
      <c r="F108" s="101">
        <v>15450278.85</v>
      </c>
      <c r="G108" s="101">
        <v>3927576.06</v>
      </c>
      <c r="H108" s="101">
        <v>9114274.1999999993</v>
      </c>
      <c r="I108" s="101">
        <v>3101257.2</v>
      </c>
      <c r="J108" s="101">
        <v>6336004.6500000022</v>
      </c>
      <c r="K108" s="101">
        <v>4349015.58</v>
      </c>
      <c r="L108" s="101">
        <v>119963.2</v>
      </c>
      <c r="M108" s="101">
        <v>0</v>
      </c>
      <c r="N108" s="101">
        <v>0</v>
      </c>
      <c r="O108" s="101">
        <v>0</v>
      </c>
      <c r="P108" s="101">
        <v>1867025.870000001</v>
      </c>
      <c r="Q108" s="101">
        <v>634545.39</v>
      </c>
      <c r="R108" s="101">
        <v>266592.82</v>
      </c>
      <c r="S108" s="101">
        <v>382520</v>
      </c>
      <c r="T108" s="101">
        <v>19754201.309999999</v>
      </c>
      <c r="U108" s="101">
        <v>28745968.289999999</v>
      </c>
      <c r="V108" s="101">
        <v>7165261.2100000009</v>
      </c>
      <c r="W108" s="101">
        <v>15922463.949999999</v>
      </c>
      <c r="X108" s="101">
        <v>5349615.4200000009</v>
      </c>
      <c r="Y108" s="101">
        <v>12823504.340000002</v>
      </c>
      <c r="Z108" s="101">
        <v>7455415.7599999998</v>
      </c>
      <c r="AA108" s="101">
        <v>205651.20000000001</v>
      </c>
      <c r="AB108" s="101">
        <v>0</v>
      </c>
      <c r="AC108" s="101">
        <v>0</v>
      </c>
      <c r="AD108" s="101">
        <v>0</v>
      </c>
      <c r="AE108" s="101">
        <v>5162437.38</v>
      </c>
      <c r="AF108" s="101">
        <v>1192307.93</v>
      </c>
      <c r="AG108" s="101">
        <v>147288</v>
      </c>
      <c r="AH108" s="101">
        <v>222176</v>
      </c>
      <c r="AI108" s="101">
        <v>10714268.949999999</v>
      </c>
      <c r="AJ108" s="101">
        <v>15187966.300000003</v>
      </c>
      <c r="AK108" s="101">
        <v>3492420.4800000009</v>
      </c>
      <c r="AL108" s="101">
        <v>9143368.6000000015</v>
      </c>
      <c r="AM108" s="101">
        <v>3046968.790000001</v>
      </c>
      <c r="AN108" s="101">
        <v>6044597.6999999993</v>
      </c>
      <c r="AO108" s="101">
        <v>4289179.87</v>
      </c>
      <c r="AP108" s="101">
        <v>122903.56</v>
      </c>
      <c r="AQ108" s="101">
        <v>0</v>
      </c>
      <c r="AR108" s="101">
        <v>0</v>
      </c>
      <c r="AS108" s="101">
        <v>0</v>
      </c>
      <c r="AT108" s="101">
        <v>1632514.2700000021</v>
      </c>
      <c r="AU108" s="101">
        <v>617414</v>
      </c>
    </row>
    <row r="109" spans="1:47">
      <c r="A109" s="102" t="s">
        <v>397</v>
      </c>
      <c r="B109" s="102" t="s">
        <v>83</v>
      </c>
      <c r="C109" s="101">
        <v>42113</v>
      </c>
      <c r="D109" s="101">
        <v>71656</v>
      </c>
      <c r="E109" s="101">
        <v>3477747.22</v>
      </c>
      <c r="F109" s="101">
        <v>4738930.4400000013</v>
      </c>
      <c r="G109" s="101">
        <v>1003661.33</v>
      </c>
      <c r="H109" s="101">
        <v>2319456.9400000009</v>
      </c>
      <c r="I109" s="101">
        <v>754502.78</v>
      </c>
      <c r="J109" s="101">
        <v>2419473.5</v>
      </c>
      <c r="K109" s="101">
        <v>2581957</v>
      </c>
      <c r="L109" s="101">
        <v>43771</v>
      </c>
      <c r="M109" s="101">
        <v>0</v>
      </c>
      <c r="N109" s="101">
        <v>0</v>
      </c>
      <c r="O109" s="101">
        <v>0</v>
      </c>
      <c r="P109" s="101">
        <v>-206254.5</v>
      </c>
      <c r="Q109" s="101">
        <v>208512.93</v>
      </c>
      <c r="R109" s="101">
        <v>77488</v>
      </c>
      <c r="S109" s="101">
        <v>123370</v>
      </c>
      <c r="T109" s="101">
        <v>6410388.71</v>
      </c>
      <c r="U109" s="101">
        <v>8834681.2400000002</v>
      </c>
      <c r="V109" s="101">
        <v>1923231.39</v>
      </c>
      <c r="W109" s="101">
        <v>4140222.77</v>
      </c>
      <c r="X109" s="101">
        <v>1298676.8700000001</v>
      </c>
      <c r="Y109" s="101">
        <v>4694458.4699999988</v>
      </c>
      <c r="Z109" s="101">
        <v>4426217</v>
      </c>
      <c r="AA109" s="101">
        <v>75036</v>
      </c>
      <c r="AB109" s="101">
        <v>0</v>
      </c>
      <c r="AC109" s="101">
        <v>0</v>
      </c>
      <c r="AD109" s="101">
        <v>0</v>
      </c>
      <c r="AE109" s="101">
        <v>193205.46999999901</v>
      </c>
      <c r="AF109" s="101">
        <v>388725.97</v>
      </c>
      <c r="AG109" s="101">
        <v>46047</v>
      </c>
      <c r="AH109" s="101">
        <v>71656</v>
      </c>
      <c r="AI109" s="101">
        <v>4020414.94</v>
      </c>
      <c r="AJ109" s="101">
        <v>5335266.4400000013</v>
      </c>
      <c r="AK109" s="101">
        <v>982282.19</v>
      </c>
      <c r="AL109" s="101">
        <v>2502094.83</v>
      </c>
      <c r="AM109" s="101">
        <v>714605.23</v>
      </c>
      <c r="AN109" s="101">
        <v>2833171.6100000022</v>
      </c>
      <c r="AO109" s="101">
        <v>2591832.9500000002</v>
      </c>
      <c r="AP109" s="101">
        <v>44100</v>
      </c>
      <c r="AQ109" s="101">
        <v>0</v>
      </c>
      <c r="AR109" s="101">
        <v>0</v>
      </c>
      <c r="AS109" s="101">
        <v>0</v>
      </c>
      <c r="AT109" s="101">
        <v>197238.66</v>
      </c>
      <c r="AU109" s="101">
        <v>232825.77</v>
      </c>
    </row>
    <row r="110" spans="1:47">
      <c r="A110" s="102" t="s">
        <v>396</v>
      </c>
      <c r="B110" s="102" t="s">
        <v>82</v>
      </c>
      <c r="C110" s="101">
        <v>47419</v>
      </c>
      <c r="D110" s="101">
        <v>69960</v>
      </c>
      <c r="E110" s="101">
        <v>3741423.77</v>
      </c>
      <c r="F110" s="101">
        <v>5381827.9699999997</v>
      </c>
      <c r="G110" s="101">
        <v>1266977.44</v>
      </c>
      <c r="H110" s="101">
        <v>2691657.6500000008</v>
      </c>
      <c r="I110" s="101">
        <v>839792.43</v>
      </c>
      <c r="J110" s="101">
        <v>2690170.32</v>
      </c>
      <c r="K110" s="101">
        <v>1722027.23</v>
      </c>
      <c r="L110" s="101">
        <v>32900</v>
      </c>
      <c r="M110" s="101">
        <v>0</v>
      </c>
      <c r="N110" s="101">
        <v>0</v>
      </c>
      <c r="O110" s="101">
        <v>0</v>
      </c>
      <c r="P110" s="101">
        <v>935243.09</v>
      </c>
      <c r="Q110" s="101">
        <v>236800.43</v>
      </c>
      <c r="R110" s="101">
        <v>84178</v>
      </c>
      <c r="S110" s="101">
        <v>120450</v>
      </c>
      <c r="T110" s="101">
        <v>6683829.7199999997</v>
      </c>
      <c r="U110" s="101">
        <v>9649960.9399999995</v>
      </c>
      <c r="V110" s="101">
        <v>2275131.9</v>
      </c>
      <c r="W110" s="101">
        <v>4702521.5700000012</v>
      </c>
      <c r="X110" s="101">
        <v>1440217.95</v>
      </c>
      <c r="Y110" s="101">
        <v>4947439.370000001</v>
      </c>
      <c r="Z110" s="101">
        <v>2952046.68</v>
      </c>
      <c r="AA110" s="101">
        <v>56400</v>
      </c>
      <c r="AB110" s="101">
        <v>0</v>
      </c>
      <c r="AC110" s="101">
        <v>0</v>
      </c>
      <c r="AD110" s="101">
        <v>0</v>
      </c>
      <c r="AE110" s="101">
        <v>1938992.69</v>
      </c>
      <c r="AF110" s="101">
        <v>424598.28</v>
      </c>
      <c r="AG110" s="101">
        <v>48125</v>
      </c>
      <c r="AH110" s="101">
        <v>69960</v>
      </c>
      <c r="AI110" s="101">
        <v>3941317.46</v>
      </c>
      <c r="AJ110" s="101">
        <v>5509134.7300000004</v>
      </c>
      <c r="AK110" s="101">
        <v>1169957.06</v>
      </c>
      <c r="AL110" s="101">
        <v>2780247.9</v>
      </c>
      <c r="AM110" s="101">
        <v>829943.6</v>
      </c>
      <c r="AN110" s="101">
        <v>2728886.83</v>
      </c>
      <c r="AO110" s="101">
        <v>1720659.92</v>
      </c>
      <c r="AP110" s="101">
        <v>32900</v>
      </c>
      <c r="AQ110" s="101">
        <v>0</v>
      </c>
      <c r="AR110" s="101">
        <v>0</v>
      </c>
      <c r="AS110" s="101">
        <v>0</v>
      </c>
      <c r="AT110" s="101">
        <v>975326.91</v>
      </c>
      <c r="AU110" s="101">
        <v>240530.74</v>
      </c>
    </row>
    <row r="111" spans="1:47">
      <c r="A111" s="102" t="s">
        <v>398</v>
      </c>
      <c r="B111" s="102" t="s">
        <v>84</v>
      </c>
      <c r="C111" s="101">
        <v>14247</v>
      </c>
      <c r="D111" s="101">
        <v>23532</v>
      </c>
      <c r="E111" s="101">
        <v>1591991.5</v>
      </c>
      <c r="F111" s="101">
        <v>1876128.62</v>
      </c>
      <c r="G111" s="101">
        <v>227375.41</v>
      </c>
      <c r="H111" s="101">
        <v>855004.88</v>
      </c>
      <c r="I111" s="101">
        <v>271640.59999999998</v>
      </c>
      <c r="J111" s="101">
        <v>1021123.74</v>
      </c>
      <c r="K111" s="101">
        <v>737479.54</v>
      </c>
      <c r="L111" s="101">
        <v>10077.27</v>
      </c>
      <c r="M111" s="101">
        <v>0</v>
      </c>
      <c r="N111" s="101">
        <v>0</v>
      </c>
      <c r="O111" s="101">
        <v>0</v>
      </c>
      <c r="P111" s="101">
        <v>273566.93</v>
      </c>
      <c r="Q111" s="101">
        <v>82549.649999999994</v>
      </c>
      <c r="R111" s="101">
        <v>24833</v>
      </c>
      <c r="S111" s="101">
        <v>40515</v>
      </c>
      <c r="T111" s="101">
        <v>2856276.78</v>
      </c>
      <c r="U111" s="101">
        <v>3335547.5</v>
      </c>
      <c r="V111" s="101">
        <v>382269.04</v>
      </c>
      <c r="W111" s="101">
        <v>1472997.9</v>
      </c>
      <c r="X111" s="101">
        <v>467301.24</v>
      </c>
      <c r="Y111" s="101">
        <v>1862549.600000001</v>
      </c>
      <c r="Z111" s="101">
        <v>1264250.6399999999</v>
      </c>
      <c r="AA111" s="101">
        <v>17275.32</v>
      </c>
      <c r="AB111" s="101">
        <v>0</v>
      </c>
      <c r="AC111" s="101">
        <v>0</v>
      </c>
      <c r="AD111" s="101">
        <v>0</v>
      </c>
      <c r="AE111" s="101">
        <v>581023.64000000095</v>
      </c>
      <c r="AF111" s="101">
        <v>146764.07</v>
      </c>
      <c r="AG111" s="101">
        <v>13896</v>
      </c>
      <c r="AH111" s="101">
        <v>23532</v>
      </c>
      <c r="AI111" s="101">
        <v>1760831.58</v>
      </c>
      <c r="AJ111" s="101">
        <v>2019907.65</v>
      </c>
      <c r="AK111" s="101">
        <v>195552.88</v>
      </c>
      <c r="AL111" s="101">
        <v>848092.42</v>
      </c>
      <c r="AM111" s="101">
        <v>282875.89</v>
      </c>
      <c r="AN111" s="101">
        <v>1171815.23</v>
      </c>
      <c r="AO111" s="101">
        <v>575258.25</v>
      </c>
      <c r="AP111" s="101">
        <v>10077.27</v>
      </c>
      <c r="AQ111" s="101">
        <v>0</v>
      </c>
      <c r="AR111" s="101">
        <v>0</v>
      </c>
      <c r="AS111" s="101">
        <v>0</v>
      </c>
      <c r="AT111" s="101">
        <v>586479.71</v>
      </c>
      <c r="AU111" s="101">
        <v>88510.7</v>
      </c>
    </row>
    <row r="112" spans="1:47">
      <c r="A112" s="102" t="s">
        <v>1003</v>
      </c>
      <c r="B112" s="102" t="e">
        <v>#N/A</v>
      </c>
      <c r="C112" s="101">
        <v>103779</v>
      </c>
      <c r="D112" s="101">
        <v>165148</v>
      </c>
      <c r="E112" s="101">
        <v>8811162.4900000002</v>
      </c>
      <c r="F112" s="101">
        <v>11996887.029999999</v>
      </c>
      <c r="G112" s="101">
        <v>2498014.1800000002</v>
      </c>
      <c r="H112" s="101">
        <v>5866119.4699999997</v>
      </c>
      <c r="I112" s="101">
        <v>1865935.81</v>
      </c>
      <c r="J112" s="101">
        <v>6130767.5600000015</v>
      </c>
      <c r="K112" s="101">
        <v>5041463.7699999996</v>
      </c>
      <c r="L112" s="101">
        <v>86748.27</v>
      </c>
      <c r="M112" s="101">
        <v>0</v>
      </c>
      <c r="N112" s="101">
        <v>0</v>
      </c>
      <c r="O112" s="101">
        <v>0</v>
      </c>
      <c r="P112" s="101">
        <v>1002555.519999999</v>
      </c>
      <c r="Q112" s="101">
        <v>527863.01</v>
      </c>
      <c r="R112" s="101">
        <v>186499</v>
      </c>
      <c r="S112" s="101">
        <v>284335</v>
      </c>
      <c r="T112" s="101">
        <v>15950495.210000003</v>
      </c>
      <c r="U112" s="101">
        <v>21820189.68</v>
      </c>
      <c r="V112" s="101">
        <v>4580632.330000001</v>
      </c>
      <c r="W112" s="101">
        <v>10315742.240000002</v>
      </c>
      <c r="X112" s="101">
        <v>3206196.06</v>
      </c>
      <c r="Y112" s="101">
        <v>11504447.440000001</v>
      </c>
      <c r="Z112" s="101">
        <v>8642514.3200000003</v>
      </c>
      <c r="AA112" s="101">
        <v>148711.32</v>
      </c>
      <c r="AB112" s="101">
        <v>0</v>
      </c>
      <c r="AC112" s="101">
        <v>0</v>
      </c>
      <c r="AD112" s="101">
        <v>0</v>
      </c>
      <c r="AE112" s="101">
        <v>2713221.799999998</v>
      </c>
      <c r="AF112" s="101">
        <v>960088.32</v>
      </c>
      <c r="AG112" s="101">
        <v>108068</v>
      </c>
      <c r="AH112" s="101">
        <v>165148</v>
      </c>
      <c r="AI112" s="101">
        <v>9722563.9800000004</v>
      </c>
      <c r="AJ112" s="101">
        <v>12864308.82</v>
      </c>
      <c r="AK112" s="101">
        <v>2347792.13</v>
      </c>
      <c r="AL112" s="101">
        <v>6130435.1500000013</v>
      </c>
      <c r="AM112" s="101">
        <v>1827424.72</v>
      </c>
      <c r="AN112" s="101">
        <v>6733873.6700000009</v>
      </c>
      <c r="AO112" s="101">
        <v>4887751.120000001</v>
      </c>
      <c r="AP112" s="101">
        <v>87077.27</v>
      </c>
      <c r="AQ112" s="101">
        <v>0</v>
      </c>
      <c r="AR112" s="101">
        <v>0</v>
      </c>
      <c r="AS112" s="101">
        <v>0</v>
      </c>
      <c r="AT112" s="101">
        <v>1759045.280000001</v>
      </c>
      <c r="AU112" s="101">
        <v>561867.21</v>
      </c>
    </row>
    <row r="113" spans="1:47">
      <c r="A113" s="102" t="s">
        <v>388</v>
      </c>
      <c r="B113" s="102" t="s">
        <v>78</v>
      </c>
      <c r="C113" s="101">
        <v>36221</v>
      </c>
      <c r="D113" s="101">
        <v>47700</v>
      </c>
      <c r="E113" s="101">
        <v>2305314.21</v>
      </c>
      <c r="F113" s="101">
        <v>3865145.05</v>
      </c>
      <c r="G113" s="101">
        <v>1275304.8</v>
      </c>
      <c r="H113" s="101">
        <v>2173200.44</v>
      </c>
      <c r="I113" s="101">
        <v>683187.54</v>
      </c>
      <c r="J113" s="101">
        <v>1691944.61</v>
      </c>
      <c r="K113" s="101">
        <v>1159864.44</v>
      </c>
      <c r="L113" s="101">
        <v>26843.88</v>
      </c>
      <c r="M113" s="101">
        <v>0</v>
      </c>
      <c r="N113" s="101">
        <v>0</v>
      </c>
      <c r="O113" s="101">
        <v>0</v>
      </c>
      <c r="P113" s="101">
        <v>505236.29</v>
      </c>
      <c r="Q113" s="101">
        <v>170066.38</v>
      </c>
      <c r="R113" s="101">
        <v>67057</v>
      </c>
      <c r="S113" s="101">
        <v>82125</v>
      </c>
      <c r="T113" s="101">
        <v>4336096.91</v>
      </c>
      <c r="U113" s="101">
        <v>7185277.120000001</v>
      </c>
      <c r="V113" s="101">
        <v>2324287.5499999998</v>
      </c>
      <c r="W113" s="101">
        <v>3871385.81</v>
      </c>
      <c r="X113" s="101">
        <v>1191205.69</v>
      </c>
      <c r="Y113" s="101">
        <v>3313891.31</v>
      </c>
      <c r="Z113" s="101">
        <v>1988339.04</v>
      </c>
      <c r="AA113" s="101">
        <v>46018.080000000002</v>
      </c>
      <c r="AB113" s="101">
        <v>0</v>
      </c>
      <c r="AC113" s="101">
        <v>0</v>
      </c>
      <c r="AD113" s="101">
        <v>0</v>
      </c>
      <c r="AE113" s="101">
        <v>1279534.19</v>
      </c>
      <c r="AF113" s="101">
        <v>316152.18</v>
      </c>
      <c r="AG113" s="101">
        <v>36593</v>
      </c>
      <c r="AH113" s="101">
        <v>47700</v>
      </c>
      <c r="AI113" s="101">
        <v>2192737.1</v>
      </c>
      <c r="AJ113" s="101">
        <v>3524856.2800000012</v>
      </c>
      <c r="AK113" s="101">
        <v>1097793.19</v>
      </c>
      <c r="AL113" s="101">
        <v>2126838.29</v>
      </c>
      <c r="AM113" s="101">
        <v>643419.44999999995</v>
      </c>
      <c r="AN113" s="101">
        <v>1398017.99</v>
      </c>
      <c r="AO113" s="101">
        <v>1160205.1299999999</v>
      </c>
      <c r="AP113" s="101">
        <v>26842.83</v>
      </c>
      <c r="AQ113" s="101">
        <v>0</v>
      </c>
      <c r="AR113" s="101">
        <v>0</v>
      </c>
      <c r="AS113" s="101">
        <v>0</v>
      </c>
      <c r="AT113" s="101">
        <v>210970.03</v>
      </c>
      <c r="AU113" s="101">
        <v>153077.35</v>
      </c>
    </row>
    <row r="114" spans="1:47">
      <c r="A114" s="102" t="s">
        <v>387</v>
      </c>
      <c r="B114" s="102" t="s">
        <v>77</v>
      </c>
      <c r="C114" s="101">
        <v>67496.47</v>
      </c>
      <c r="D114" s="101">
        <v>83104</v>
      </c>
      <c r="E114" s="101">
        <v>5421507.2699999996</v>
      </c>
      <c r="F114" s="101">
        <v>7562821.21</v>
      </c>
      <c r="G114" s="101">
        <v>1745002.07</v>
      </c>
      <c r="H114" s="101">
        <v>3569894.57</v>
      </c>
      <c r="I114" s="101">
        <v>1043559.86</v>
      </c>
      <c r="J114" s="101">
        <v>3992926.64</v>
      </c>
      <c r="K114" s="101">
        <v>2439012.17</v>
      </c>
      <c r="L114" s="101">
        <v>93469.04</v>
      </c>
      <c r="M114" s="101">
        <v>0</v>
      </c>
      <c r="N114" s="101">
        <v>0</v>
      </c>
      <c r="O114" s="101">
        <v>0</v>
      </c>
      <c r="P114" s="101">
        <v>1460445.4300000011</v>
      </c>
      <c r="Q114" s="101">
        <v>332764.13</v>
      </c>
      <c r="R114" s="101">
        <v>120618.6</v>
      </c>
      <c r="S114" s="101">
        <v>143080</v>
      </c>
      <c r="T114" s="101">
        <v>10247285.109999999</v>
      </c>
      <c r="U114" s="101">
        <v>14310982.390000002</v>
      </c>
      <c r="V114" s="101">
        <v>3224096.86</v>
      </c>
      <c r="W114" s="101">
        <v>6325370.620000001</v>
      </c>
      <c r="X114" s="101">
        <v>1797998.88</v>
      </c>
      <c r="Y114" s="101">
        <v>7985611.7700000023</v>
      </c>
      <c r="Z114" s="101">
        <v>4181163.72</v>
      </c>
      <c r="AA114" s="101">
        <v>160232.64000000001</v>
      </c>
      <c r="AB114" s="101">
        <v>0</v>
      </c>
      <c r="AC114" s="101">
        <v>0</v>
      </c>
      <c r="AD114" s="101">
        <v>0</v>
      </c>
      <c r="AE114" s="101">
        <v>3644215.4100000011</v>
      </c>
      <c r="AF114" s="101">
        <v>629683.22</v>
      </c>
      <c r="AG114" s="101">
        <v>64117</v>
      </c>
      <c r="AH114" s="101">
        <v>83104</v>
      </c>
      <c r="AI114" s="101">
        <v>5397877.580000001</v>
      </c>
      <c r="AJ114" s="101">
        <v>7285369.7699999996</v>
      </c>
      <c r="AK114" s="101">
        <v>1503049.15</v>
      </c>
      <c r="AL114" s="101">
        <v>3407880.1300000008</v>
      </c>
      <c r="AM114" s="101">
        <v>1005149.03</v>
      </c>
      <c r="AN114" s="101">
        <v>3877489.64</v>
      </c>
      <c r="AO114" s="101">
        <v>2436298.2599999998</v>
      </c>
      <c r="AP114" s="101">
        <v>93469.03</v>
      </c>
      <c r="AQ114" s="101">
        <v>0</v>
      </c>
      <c r="AR114" s="101">
        <v>0</v>
      </c>
      <c r="AS114" s="101">
        <v>0</v>
      </c>
      <c r="AT114" s="101">
        <v>1347722.3499999989</v>
      </c>
      <c r="AU114" s="101">
        <v>317761.64</v>
      </c>
    </row>
    <row r="115" spans="1:47">
      <c r="A115" s="102" t="s">
        <v>465</v>
      </c>
      <c r="B115" s="102" t="s">
        <v>133</v>
      </c>
      <c r="C115" s="101">
        <v>25856</v>
      </c>
      <c r="D115" s="101">
        <v>51516</v>
      </c>
      <c r="E115" s="101">
        <v>1273498.74</v>
      </c>
      <c r="F115" s="101">
        <v>2381439.29</v>
      </c>
      <c r="G115" s="101">
        <v>971644.13</v>
      </c>
      <c r="H115" s="101">
        <v>1615723.41</v>
      </c>
      <c r="I115" s="101">
        <v>496066</v>
      </c>
      <c r="J115" s="101">
        <v>765715.88</v>
      </c>
      <c r="K115" s="101">
        <v>1243604.3899999999</v>
      </c>
      <c r="L115" s="101">
        <v>8257.48</v>
      </c>
      <c r="M115" s="101">
        <v>0</v>
      </c>
      <c r="N115" s="101">
        <v>0</v>
      </c>
      <c r="O115" s="101">
        <v>0</v>
      </c>
      <c r="P115" s="101">
        <v>-486145.99</v>
      </c>
      <c r="Q115" s="101">
        <v>104783.32</v>
      </c>
      <c r="R115" s="101">
        <v>46697</v>
      </c>
      <c r="S115" s="101">
        <v>88695</v>
      </c>
      <c r="T115" s="101">
        <v>2379034.4900000002</v>
      </c>
      <c r="U115" s="101">
        <v>4374215.79</v>
      </c>
      <c r="V115" s="101">
        <v>1733652.32</v>
      </c>
      <c r="W115" s="101">
        <v>2775242.24</v>
      </c>
      <c r="X115" s="101">
        <v>802638.74</v>
      </c>
      <c r="Y115" s="101">
        <v>1598973.55</v>
      </c>
      <c r="Z115" s="101">
        <v>2131888.2400000002</v>
      </c>
      <c r="AA115" s="101">
        <v>14155.68</v>
      </c>
      <c r="AB115" s="101">
        <v>0</v>
      </c>
      <c r="AC115" s="101">
        <v>0</v>
      </c>
      <c r="AD115" s="101">
        <v>0</v>
      </c>
      <c r="AE115" s="101">
        <v>-547070.37</v>
      </c>
      <c r="AF115" s="101">
        <v>192465.48</v>
      </c>
      <c r="AG115" s="101">
        <v>28514</v>
      </c>
      <c r="AH115" s="101">
        <v>51516</v>
      </c>
      <c r="AI115" s="101">
        <v>1373707.86</v>
      </c>
      <c r="AJ115" s="101">
        <v>2405391.67</v>
      </c>
      <c r="AK115" s="101">
        <v>907307.75</v>
      </c>
      <c r="AL115" s="101">
        <v>1692311.37</v>
      </c>
      <c r="AM115" s="101">
        <v>465822.48</v>
      </c>
      <c r="AN115" s="101">
        <v>713080.3</v>
      </c>
      <c r="AO115" s="101">
        <v>1235953.19</v>
      </c>
      <c r="AP115" s="101">
        <v>8346.7800000000007</v>
      </c>
      <c r="AQ115" s="101">
        <v>0</v>
      </c>
      <c r="AR115" s="101">
        <v>0</v>
      </c>
      <c r="AS115" s="101">
        <v>0</v>
      </c>
      <c r="AT115" s="101">
        <v>-531219.67000000004</v>
      </c>
      <c r="AU115" s="101">
        <v>104230.23</v>
      </c>
    </row>
    <row r="116" spans="1:47">
      <c r="A116" s="102" t="s">
        <v>426</v>
      </c>
      <c r="B116" s="102" t="s">
        <v>104</v>
      </c>
      <c r="C116" s="101">
        <v>20173</v>
      </c>
      <c r="D116" s="101">
        <v>26712</v>
      </c>
      <c r="E116" s="101">
        <v>919194.73</v>
      </c>
      <c r="F116" s="101">
        <v>1361831.76</v>
      </c>
      <c r="G116" s="101">
        <v>390334.18</v>
      </c>
      <c r="H116" s="101">
        <v>1004095.52</v>
      </c>
      <c r="I116" s="101">
        <v>315283.34000000003</v>
      </c>
      <c r="J116" s="101">
        <v>357736.24</v>
      </c>
      <c r="K116" s="101">
        <v>641660.94999999995</v>
      </c>
      <c r="L116" s="101">
        <v>8214.36</v>
      </c>
      <c r="M116" s="101">
        <v>0</v>
      </c>
      <c r="N116" s="101">
        <v>0</v>
      </c>
      <c r="O116" s="101">
        <v>0</v>
      </c>
      <c r="P116" s="101">
        <v>-292139.07</v>
      </c>
      <c r="Q116" s="101">
        <v>59920.6</v>
      </c>
      <c r="R116" s="101">
        <v>34195</v>
      </c>
      <c r="S116" s="101">
        <v>45990</v>
      </c>
      <c r="T116" s="101">
        <v>1643070.81</v>
      </c>
      <c r="U116" s="101">
        <v>2415985.29</v>
      </c>
      <c r="V116" s="101">
        <v>691488.7</v>
      </c>
      <c r="W116" s="101">
        <v>1735221.79</v>
      </c>
      <c r="X116" s="101">
        <v>552524</v>
      </c>
      <c r="Y116" s="101">
        <v>680763.5</v>
      </c>
      <c r="Z116" s="101">
        <v>1099990.2</v>
      </c>
      <c r="AA116" s="101">
        <v>14081.76</v>
      </c>
      <c r="AB116" s="101">
        <v>0</v>
      </c>
      <c r="AC116" s="101">
        <v>0</v>
      </c>
      <c r="AD116" s="101">
        <v>0</v>
      </c>
      <c r="AE116" s="101">
        <v>-433308.46</v>
      </c>
      <c r="AF116" s="101">
        <v>106303.34</v>
      </c>
      <c r="AG116" s="101">
        <v>19008</v>
      </c>
      <c r="AH116" s="101">
        <v>26712</v>
      </c>
      <c r="AI116" s="101">
        <v>868997.37</v>
      </c>
      <c r="AJ116" s="101">
        <v>1235934.8400000001</v>
      </c>
      <c r="AK116" s="101">
        <v>323350.33</v>
      </c>
      <c r="AL116" s="101">
        <v>952054.42</v>
      </c>
      <c r="AM116" s="101">
        <v>311964.21999999997</v>
      </c>
      <c r="AN116" s="101">
        <v>283880.42</v>
      </c>
      <c r="AO116" s="101">
        <v>640437</v>
      </c>
      <c r="AP116" s="101">
        <v>8214.36</v>
      </c>
      <c r="AQ116" s="101">
        <v>0</v>
      </c>
      <c r="AR116" s="101">
        <v>0</v>
      </c>
      <c r="AS116" s="101">
        <v>0</v>
      </c>
      <c r="AT116" s="101">
        <v>-364770.94</v>
      </c>
      <c r="AU116" s="101">
        <v>53556.98</v>
      </c>
    </row>
    <row r="117" spans="1:47">
      <c r="A117" s="102" t="s">
        <v>427</v>
      </c>
      <c r="B117" s="102" t="s">
        <v>105</v>
      </c>
      <c r="C117" s="101">
        <v>7041</v>
      </c>
      <c r="D117" s="101">
        <v>8056</v>
      </c>
      <c r="E117" s="101">
        <v>494870.13</v>
      </c>
      <c r="F117" s="101">
        <v>551120.86</v>
      </c>
      <c r="G117" s="101">
        <v>43495.08</v>
      </c>
      <c r="H117" s="101">
        <v>321142.24</v>
      </c>
      <c r="I117" s="101">
        <v>87788.06</v>
      </c>
      <c r="J117" s="101">
        <v>229978.62</v>
      </c>
      <c r="K117" s="101">
        <v>136523.73000000001</v>
      </c>
      <c r="L117" s="101">
        <v>4011</v>
      </c>
      <c r="M117" s="101">
        <v>0</v>
      </c>
      <c r="N117" s="101">
        <v>0</v>
      </c>
      <c r="O117" s="101">
        <v>0</v>
      </c>
      <c r="P117" s="101">
        <v>89443.89</v>
      </c>
      <c r="Q117" s="101">
        <v>24249.33</v>
      </c>
      <c r="R117" s="101">
        <v>11945</v>
      </c>
      <c r="S117" s="101">
        <v>13870</v>
      </c>
      <c r="T117" s="101">
        <v>868158.2</v>
      </c>
      <c r="U117" s="101">
        <v>968700.76</v>
      </c>
      <c r="V117" s="101">
        <v>77587.61</v>
      </c>
      <c r="W117" s="101">
        <v>558534.22</v>
      </c>
      <c r="X117" s="101">
        <v>158599.84</v>
      </c>
      <c r="Y117" s="101">
        <v>410166.54</v>
      </c>
      <c r="Z117" s="101">
        <v>234040.68</v>
      </c>
      <c r="AA117" s="101">
        <v>6876</v>
      </c>
      <c r="AB117" s="101">
        <v>0</v>
      </c>
      <c r="AC117" s="101">
        <v>0</v>
      </c>
      <c r="AD117" s="101">
        <v>0</v>
      </c>
      <c r="AE117" s="101">
        <v>169249.86</v>
      </c>
      <c r="AF117" s="101">
        <v>42622.84</v>
      </c>
      <c r="AG117" s="101">
        <v>6169</v>
      </c>
      <c r="AH117" s="101">
        <v>8056</v>
      </c>
      <c r="AI117" s="101">
        <v>450565.62</v>
      </c>
      <c r="AJ117" s="101">
        <v>506481.57</v>
      </c>
      <c r="AK117" s="101">
        <v>42106.75</v>
      </c>
      <c r="AL117" s="101">
        <v>333163.19</v>
      </c>
      <c r="AM117" s="101">
        <v>95665.76</v>
      </c>
      <c r="AN117" s="101">
        <v>173318.38</v>
      </c>
      <c r="AO117" s="101">
        <v>136341.45000000001</v>
      </c>
      <c r="AP117" s="101">
        <v>4541.88</v>
      </c>
      <c r="AQ117" s="101">
        <v>0</v>
      </c>
      <c r="AR117" s="101">
        <v>0</v>
      </c>
      <c r="AS117" s="101">
        <v>0</v>
      </c>
      <c r="AT117" s="101">
        <v>32435.05</v>
      </c>
      <c r="AU117" s="101">
        <v>22151.02</v>
      </c>
    </row>
    <row r="118" spans="1:47">
      <c r="A118" s="102" t="s">
        <v>389</v>
      </c>
      <c r="B118" s="102" t="s">
        <v>79</v>
      </c>
      <c r="C118" s="101">
        <v>25371</v>
      </c>
      <c r="D118" s="101">
        <v>35404</v>
      </c>
      <c r="E118" s="101">
        <v>1917404.5</v>
      </c>
      <c r="F118" s="101">
        <v>2464472.9</v>
      </c>
      <c r="G118" s="101">
        <v>381258.29</v>
      </c>
      <c r="H118" s="101">
        <v>1298083.67</v>
      </c>
      <c r="I118" s="101">
        <v>352924.64</v>
      </c>
      <c r="J118" s="101">
        <v>1166389.2300000009</v>
      </c>
      <c r="K118" s="101">
        <v>755354.04</v>
      </c>
      <c r="L118" s="101">
        <v>30009</v>
      </c>
      <c r="M118" s="101">
        <v>0</v>
      </c>
      <c r="N118" s="101">
        <v>0</v>
      </c>
      <c r="O118" s="101">
        <v>0</v>
      </c>
      <c r="P118" s="101">
        <v>381026.19</v>
      </c>
      <c r="Q118" s="101">
        <v>108436.81</v>
      </c>
      <c r="R118" s="101">
        <v>46049.5</v>
      </c>
      <c r="S118" s="101">
        <v>60955</v>
      </c>
      <c r="T118" s="101">
        <v>3606032.54</v>
      </c>
      <c r="U118" s="101">
        <v>4644203.7800000012</v>
      </c>
      <c r="V118" s="101">
        <v>694391.94</v>
      </c>
      <c r="W118" s="101">
        <v>2261107.7000000002</v>
      </c>
      <c r="X118" s="101">
        <v>616299.43999999994</v>
      </c>
      <c r="Y118" s="101">
        <v>2383096.080000001</v>
      </c>
      <c r="Z118" s="101">
        <v>1294892.6399999999</v>
      </c>
      <c r="AA118" s="101">
        <v>51444</v>
      </c>
      <c r="AB118" s="101">
        <v>0</v>
      </c>
      <c r="AC118" s="101">
        <v>0</v>
      </c>
      <c r="AD118" s="101">
        <v>0</v>
      </c>
      <c r="AE118" s="101">
        <v>1036759.44</v>
      </c>
      <c r="AF118" s="101">
        <v>204344.97</v>
      </c>
      <c r="AG118" s="101">
        <v>24968</v>
      </c>
      <c r="AH118" s="101">
        <v>35404</v>
      </c>
      <c r="AI118" s="101">
        <v>1862376.08</v>
      </c>
      <c r="AJ118" s="101">
        <v>2380291.1100000008</v>
      </c>
      <c r="AK118" s="101">
        <v>356326.35</v>
      </c>
      <c r="AL118" s="101">
        <v>1281947.3400000001</v>
      </c>
      <c r="AM118" s="101">
        <v>361387.97</v>
      </c>
      <c r="AN118" s="101">
        <v>1098343.77</v>
      </c>
      <c r="AO118" s="101">
        <v>770124.88</v>
      </c>
      <c r="AP118" s="101">
        <v>30006.83</v>
      </c>
      <c r="AQ118" s="101">
        <v>0</v>
      </c>
      <c r="AR118" s="101">
        <v>0</v>
      </c>
      <c r="AS118" s="101">
        <v>0</v>
      </c>
      <c r="AT118" s="101">
        <v>298212.06</v>
      </c>
      <c r="AU118" s="101">
        <v>104045.69</v>
      </c>
    </row>
    <row r="119" spans="1:47">
      <c r="A119" s="102" t="s">
        <v>410</v>
      </c>
      <c r="B119" s="102" t="s">
        <v>94</v>
      </c>
      <c r="C119" s="101">
        <v>16093</v>
      </c>
      <c r="D119" s="101">
        <v>20988</v>
      </c>
      <c r="E119" s="101">
        <v>860828</v>
      </c>
      <c r="F119" s="101">
        <v>1100961.02</v>
      </c>
      <c r="G119" s="101">
        <v>208508.43</v>
      </c>
      <c r="H119" s="101">
        <v>715669.01</v>
      </c>
      <c r="I119" s="101">
        <v>258531.88</v>
      </c>
      <c r="J119" s="101">
        <v>385292.01</v>
      </c>
      <c r="K119" s="101">
        <v>257747.49</v>
      </c>
      <c r="L119" s="101">
        <v>5754</v>
      </c>
      <c r="M119" s="101">
        <v>0</v>
      </c>
      <c r="N119" s="101">
        <v>0</v>
      </c>
      <c r="O119" s="101">
        <v>0</v>
      </c>
      <c r="P119" s="101">
        <v>121790.52</v>
      </c>
      <c r="Q119" s="101">
        <v>48442.29</v>
      </c>
      <c r="R119" s="101">
        <v>29244</v>
      </c>
      <c r="S119" s="101">
        <v>36135</v>
      </c>
      <c r="T119" s="101">
        <v>1644764.57</v>
      </c>
      <c r="U119" s="101">
        <v>2091829.98</v>
      </c>
      <c r="V119" s="101">
        <v>387229.31</v>
      </c>
      <c r="W119" s="101">
        <v>1256928.3600000001</v>
      </c>
      <c r="X119" s="101">
        <v>433872.62</v>
      </c>
      <c r="Y119" s="101">
        <v>834901.62</v>
      </c>
      <c r="Z119" s="101">
        <v>441852.84</v>
      </c>
      <c r="AA119" s="101">
        <v>9864</v>
      </c>
      <c r="AB119" s="101">
        <v>0</v>
      </c>
      <c r="AC119" s="101">
        <v>0</v>
      </c>
      <c r="AD119" s="101">
        <v>0</v>
      </c>
      <c r="AE119" s="101">
        <v>383184.78</v>
      </c>
      <c r="AF119" s="101">
        <v>92040.53</v>
      </c>
      <c r="AG119" s="101">
        <v>14714</v>
      </c>
      <c r="AH119" s="101">
        <v>20988</v>
      </c>
      <c r="AI119" s="101">
        <v>823332.37</v>
      </c>
      <c r="AJ119" s="101">
        <v>1020762.38</v>
      </c>
      <c r="AK119" s="101">
        <v>162883.94</v>
      </c>
      <c r="AL119" s="101">
        <v>684862.96</v>
      </c>
      <c r="AM119" s="101">
        <v>253697.4</v>
      </c>
      <c r="AN119" s="101">
        <v>335899.42</v>
      </c>
      <c r="AO119" s="101">
        <v>256763.03</v>
      </c>
      <c r="AP119" s="101">
        <v>10686.9</v>
      </c>
      <c r="AQ119" s="101">
        <v>0</v>
      </c>
      <c r="AR119" s="101">
        <v>0</v>
      </c>
      <c r="AS119" s="101">
        <v>0</v>
      </c>
      <c r="AT119" s="101">
        <v>68449.490000000005</v>
      </c>
      <c r="AU119" s="101">
        <v>44534.16</v>
      </c>
    </row>
    <row r="120" spans="1:47">
      <c r="A120" s="102" t="s">
        <v>455</v>
      </c>
      <c r="B120" s="102" t="s">
        <v>127</v>
      </c>
      <c r="C120" s="101">
        <v>22117</v>
      </c>
      <c r="D120" s="101">
        <v>30316</v>
      </c>
      <c r="E120" s="101">
        <v>1517934.42</v>
      </c>
      <c r="F120" s="101">
        <v>2325689.33</v>
      </c>
      <c r="G120" s="101">
        <v>602083</v>
      </c>
      <c r="H120" s="101">
        <v>1410128.6</v>
      </c>
      <c r="I120" s="101">
        <v>457598.54</v>
      </c>
      <c r="J120" s="101">
        <v>915560.73</v>
      </c>
      <c r="K120" s="101">
        <v>751278.15</v>
      </c>
      <c r="L120" s="101">
        <v>0</v>
      </c>
      <c r="M120" s="101">
        <v>0</v>
      </c>
      <c r="N120" s="101">
        <v>0</v>
      </c>
      <c r="O120" s="101">
        <v>0</v>
      </c>
      <c r="P120" s="101">
        <v>164282.57999999999</v>
      </c>
      <c r="Q120" s="101">
        <v>102330.34</v>
      </c>
      <c r="R120" s="101">
        <v>40483</v>
      </c>
      <c r="S120" s="101">
        <v>52195</v>
      </c>
      <c r="T120" s="101">
        <v>2816576.62</v>
      </c>
      <c r="U120" s="101">
        <v>4373652.97</v>
      </c>
      <c r="V120" s="101">
        <v>1152952.27</v>
      </c>
      <c r="W120" s="101">
        <v>2471497.91</v>
      </c>
      <c r="X120" s="101">
        <v>763948.16</v>
      </c>
      <c r="Y120" s="101">
        <v>1902155.060000001</v>
      </c>
      <c r="Z120" s="101">
        <v>1330160.3999999999</v>
      </c>
      <c r="AA120" s="101">
        <v>0</v>
      </c>
      <c r="AB120" s="101">
        <v>0</v>
      </c>
      <c r="AC120" s="101">
        <v>0</v>
      </c>
      <c r="AD120" s="101">
        <v>0</v>
      </c>
      <c r="AE120" s="101">
        <v>571994.66</v>
      </c>
      <c r="AF120" s="101">
        <v>192440.74</v>
      </c>
      <c r="AG120" s="101">
        <v>21620</v>
      </c>
      <c r="AH120" s="101">
        <v>30316</v>
      </c>
      <c r="AI120" s="101">
        <v>1494007.14</v>
      </c>
      <c r="AJ120" s="101">
        <v>2278440.7000000002</v>
      </c>
      <c r="AK120" s="101">
        <v>597181.16</v>
      </c>
      <c r="AL120" s="101">
        <v>1384542.6</v>
      </c>
      <c r="AM120" s="101">
        <v>448158.98</v>
      </c>
      <c r="AN120" s="101">
        <v>893898.10000000102</v>
      </c>
      <c r="AO120" s="101">
        <v>758107.7</v>
      </c>
      <c r="AP120" s="101">
        <v>7511</v>
      </c>
      <c r="AQ120" s="101">
        <v>0</v>
      </c>
      <c r="AR120" s="101">
        <v>0</v>
      </c>
      <c r="AS120" s="101">
        <v>0</v>
      </c>
      <c r="AT120" s="101">
        <v>128279.4</v>
      </c>
      <c r="AU120" s="101">
        <v>99087.95</v>
      </c>
    </row>
    <row r="121" spans="1:47">
      <c r="A121" s="102" t="s">
        <v>432</v>
      </c>
      <c r="B121" s="102" t="s">
        <v>110</v>
      </c>
      <c r="C121" s="101">
        <v>18094</v>
      </c>
      <c r="D121" s="101">
        <v>28832</v>
      </c>
      <c r="E121" s="101">
        <v>941885.57</v>
      </c>
      <c r="F121" s="101">
        <v>1265230.99</v>
      </c>
      <c r="G121" s="101">
        <v>249923</v>
      </c>
      <c r="H121" s="101">
        <v>863411.68</v>
      </c>
      <c r="I121" s="101">
        <v>269400.38</v>
      </c>
      <c r="J121" s="101">
        <v>401819.31</v>
      </c>
      <c r="K121" s="101">
        <v>463895.32</v>
      </c>
      <c r="L121" s="101">
        <v>21259</v>
      </c>
      <c r="M121" s="101">
        <v>0</v>
      </c>
      <c r="N121" s="101">
        <v>0</v>
      </c>
      <c r="O121" s="101">
        <v>0</v>
      </c>
      <c r="P121" s="101">
        <v>-83335.009999999995</v>
      </c>
      <c r="Q121" s="101">
        <v>55670.16</v>
      </c>
      <c r="R121" s="101">
        <v>31641</v>
      </c>
      <c r="S121" s="101">
        <v>49640</v>
      </c>
      <c r="T121" s="101">
        <v>1718676.33</v>
      </c>
      <c r="U121" s="101">
        <v>2278718.5200000009</v>
      </c>
      <c r="V121" s="101">
        <v>426683.36</v>
      </c>
      <c r="W121" s="101">
        <v>1471302.43</v>
      </c>
      <c r="X121" s="101">
        <v>460809.78</v>
      </c>
      <c r="Y121" s="101">
        <v>807416.09</v>
      </c>
      <c r="Z121" s="101">
        <v>795249.12</v>
      </c>
      <c r="AA121" s="101">
        <v>36444</v>
      </c>
      <c r="AB121" s="101">
        <v>0</v>
      </c>
      <c r="AC121" s="101">
        <v>0</v>
      </c>
      <c r="AD121" s="101">
        <v>0</v>
      </c>
      <c r="AE121" s="101">
        <v>-24277.03</v>
      </c>
      <c r="AF121" s="101">
        <v>100263.62</v>
      </c>
      <c r="AG121" s="101">
        <v>17820</v>
      </c>
      <c r="AH121" s="101">
        <v>28832</v>
      </c>
      <c r="AI121" s="101">
        <v>873124.04</v>
      </c>
      <c r="AJ121" s="101">
        <v>1167222.03</v>
      </c>
      <c r="AK121" s="101">
        <v>213759.13</v>
      </c>
      <c r="AL121" s="101">
        <v>824234.59</v>
      </c>
      <c r="AM121" s="101">
        <v>259953.4</v>
      </c>
      <c r="AN121" s="101">
        <v>342987.44</v>
      </c>
      <c r="AO121" s="101">
        <v>466666.69</v>
      </c>
      <c r="AP121" s="101">
        <v>21262.5</v>
      </c>
      <c r="AQ121" s="101">
        <v>0</v>
      </c>
      <c r="AR121" s="101">
        <v>0</v>
      </c>
      <c r="AS121" s="101">
        <v>0</v>
      </c>
      <c r="AT121" s="101">
        <v>-144941.75</v>
      </c>
      <c r="AU121" s="101">
        <v>50880.800000000003</v>
      </c>
    </row>
    <row r="122" spans="1:47">
      <c r="A122" s="102" t="s">
        <v>390</v>
      </c>
      <c r="B122" s="102" t="s">
        <v>80</v>
      </c>
      <c r="C122" s="101">
        <v>15425</v>
      </c>
      <c r="D122" s="101">
        <v>18868</v>
      </c>
      <c r="E122" s="101">
        <v>1342876.29</v>
      </c>
      <c r="F122" s="101">
        <v>1474048.74</v>
      </c>
      <c r="G122" s="101">
        <v>88615.24</v>
      </c>
      <c r="H122" s="101">
        <v>721992.07</v>
      </c>
      <c r="I122" s="101">
        <v>199517.55</v>
      </c>
      <c r="J122" s="101">
        <v>752056.67</v>
      </c>
      <c r="K122" s="101">
        <v>363950.79</v>
      </c>
      <c r="L122" s="101">
        <v>10870.31</v>
      </c>
      <c r="M122" s="101">
        <v>0</v>
      </c>
      <c r="N122" s="101">
        <v>0</v>
      </c>
      <c r="O122" s="101">
        <v>0</v>
      </c>
      <c r="P122" s="101">
        <v>377235.57</v>
      </c>
      <c r="Q122" s="101">
        <v>65858.14</v>
      </c>
      <c r="R122" s="101">
        <v>26872</v>
      </c>
      <c r="S122" s="101">
        <v>32485</v>
      </c>
      <c r="T122" s="101">
        <v>2388075.3199999998</v>
      </c>
      <c r="U122" s="101">
        <v>2614512.1800000002</v>
      </c>
      <c r="V122" s="101">
        <v>150139.21</v>
      </c>
      <c r="W122" s="101">
        <v>1259618.24</v>
      </c>
      <c r="X122" s="101">
        <v>348746.64</v>
      </c>
      <c r="Y122" s="101">
        <v>1354893.94</v>
      </c>
      <c r="Z122" s="101">
        <v>623915.64</v>
      </c>
      <c r="AA122" s="101">
        <v>18634.810000000001</v>
      </c>
      <c r="AB122" s="101">
        <v>0</v>
      </c>
      <c r="AC122" s="101">
        <v>0</v>
      </c>
      <c r="AD122" s="101">
        <v>0</v>
      </c>
      <c r="AE122" s="101">
        <v>712343.49</v>
      </c>
      <c r="AF122" s="101">
        <v>116038.53</v>
      </c>
      <c r="AG122" s="101">
        <v>13832</v>
      </c>
      <c r="AH122" s="101">
        <v>18868</v>
      </c>
      <c r="AI122" s="101">
        <v>1119588.99</v>
      </c>
      <c r="AJ122" s="101">
        <v>1239374.25</v>
      </c>
      <c r="AK122" s="101">
        <v>81514.06</v>
      </c>
      <c r="AL122" s="101">
        <v>673933.11</v>
      </c>
      <c r="AM122" s="101">
        <v>196352.03</v>
      </c>
      <c r="AN122" s="101">
        <v>565441.14</v>
      </c>
      <c r="AO122" s="101">
        <v>349118.91</v>
      </c>
      <c r="AP122" s="101">
        <v>10870.33</v>
      </c>
      <c r="AQ122" s="101">
        <v>0</v>
      </c>
      <c r="AR122" s="101">
        <v>0</v>
      </c>
      <c r="AS122" s="101">
        <v>0</v>
      </c>
      <c r="AT122" s="101">
        <v>205451.9</v>
      </c>
      <c r="AU122" s="101">
        <v>54154.11</v>
      </c>
    </row>
    <row r="123" spans="1:47">
      <c r="A123" s="102" t="s">
        <v>424</v>
      </c>
      <c r="B123" s="102" t="s">
        <v>425</v>
      </c>
      <c r="C123" s="101">
        <v>44254.04</v>
      </c>
      <c r="D123" s="101">
        <v>64448</v>
      </c>
      <c r="E123" s="101">
        <v>4038379.41</v>
      </c>
      <c r="F123" s="101">
        <v>7193218.4600000009</v>
      </c>
      <c r="G123" s="101">
        <v>2360070.16</v>
      </c>
      <c r="H123" s="101">
        <v>5206900.4700000016</v>
      </c>
      <c r="I123" s="101">
        <v>1746847.31</v>
      </c>
      <c r="J123" s="101">
        <v>1986317.99</v>
      </c>
      <c r="K123" s="101">
        <v>2268210</v>
      </c>
      <c r="L123" s="101">
        <v>40089</v>
      </c>
      <c r="M123" s="101">
        <v>0</v>
      </c>
      <c r="N123" s="101">
        <v>0</v>
      </c>
      <c r="O123" s="101">
        <v>0</v>
      </c>
      <c r="P123" s="101">
        <v>-321981.01</v>
      </c>
      <c r="Q123" s="101">
        <v>316501.62</v>
      </c>
      <c r="R123" s="101">
        <v>80646.100000000006</v>
      </c>
      <c r="S123" s="101">
        <v>110960</v>
      </c>
      <c r="T123" s="101">
        <v>7708294.8399999999</v>
      </c>
      <c r="U123" s="101">
        <v>13721301.98</v>
      </c>
      <c r="V123" s="101">
        <v>4478637.7300000014</v>
      </c>
      <c r="W123" s="101">
        <v>9210847.2699999996</v>
      </c>
      <c r="X123" s="101">
        <v>3004606.4400000009</v>
      </c>
      <c r="Y123" s="101">
        <v>4510454.7100000028</v>
      </c>
      <c r="Z123" s="101">
        <v>3888360</v>
      </c>
      <c r="AA123" s="101">
        <v>68724</v>
      </c>
      <c r="AB123" s="101">
        <v>0</v>
      </c>
      <c r="AC123" s="101">
        <v>0</v>
      </c>
      <c r="AD123" s="101">
        <v>0</v>
      </c>
      <c r="AE123" s="101">
        <v>553370.71000000194</v>
      </c>
      <c r="AF123" s="101">
        <v>603737.29</v>
      </c>
      <c r="AG123" s="101">
        <v>48266</v>
      </c>
      <c r="AH123" s="101">
        <v>64448</v>
      </c>
      <c r="AI123" s="101">
        <v>4319998.34</v>
      </c>
      <c r="AJ123" s="101">
        <v>7478008.0300000003</v>
      </c>
      <c r="AK123" s="101">
        <v>2459329.7000000002</v>
      </c>
      <c r="AL123" s="101">
        <v>5259804.28</v>
      </c>
      <c r="AM123" s="101">
        <v>1624984.03</v>
      </c>
      <c r="AN123" s="101">
        <v>2218203.75</v>
      </c>
      <c r="AO123" s="101">
        <v>2291817.09</v>
      </c>
      <c r="AP123" s="101">
        <v>46200</v>
      </c>
      <c r="AQ123" s="101">
        <v>0</v>
      </c>
      <c r="AR123" s="101">
        <v>0</v>
      </c>
      <c r="AS123" s="101">
        <v>0</v>
      </c>
      <c r="AT123" s="101">
        <v>-119813.34</v>
      </c>
      <c r="AU123" s="101">
        <v>328272.05</v>
      </c>
    </row>
    <row r="124" spans="1:47">
      <c r="A124" s="102" t="s">
        <v>386</v>
      </c>
      <c r="B124" s="102" t="s">
        <v>76</v>
      </c>
      <c r="C124" s="101">
        <v>44469.38</v>
      </c>
      <c r="D124" s="101">
        <v>56816</v>
      </c>
      <c r="E124" s="101">
        <v>3907950.11</v>
      </c>
      <c r="F124" s="101">
        <v>5747812</v>
      </c>
      <c r="G124" s="101">
        <v>1404168.12</v>
      </c>
      <c r="H124" s="101">
        <v>2941329.42</v>
      </c>
      <c r="I124" s="101">
        <v>1005364.66</v>
      </c>
      <c r="J124" s="101">
        <v>2806482.58</v>
      </c>
      <c r="K124" s="101">
        <v>1703765.67</v>
      </c>
      <c r="L124" s="101">
        <v>98000</v>
      </c>
      <c r="M124" s="101">
        <v>0</v>
      </c>
      <c r="N124" s="101">
        <v>0</v>
      </c>
      <c r="O124" s="101">
        <v>0</v>
      </c>
      <c r="P124" s="101">
        <v>1004716.91</v>
      </c>
      <c r="Q124" s="101">
        <v>198476.48</v>
      </c>
      <c r="R124" s="101">
        <v>81103.42</v>
      </c>
      <c r="S124" s="101">
        <v>97820</v>
      </c>
      <c r="T124" s="101">
        <v>7547302.4000000013</v>
      </c>
      <c r="U124" s="101">
        <v>10927162.370000003</v>
      </c>
      <c r="V124" s="101">
        <v>2592241.88</v>
      </c>
      <c r="W124" s="101">
        <v>5238041.67</v>
      </c>
      <c r="X124" s="101">
        <v>1757409.77</v>
      </c>
      <c r="Y124" s="101">
        <v>5689120.700000002</v>
      </c>
      <c r="Z124" s="101">
        <v>2920741.28</v>
      </c>
      <c r="AA124" s="101">
        <v>168000</v>
      </c>
      <c r="AB124" s="101">
        <v>0</v>
      </c>
      <c r="AC124" s="101">
        <v>0</v>
      </c>
      <c r="AD124" s="101">
        <v>0</v>
      </c>
      <c r="AE124" s="101">
        <v>2600379.4200000009</v>
      </c>
      <c r="AF124" s="101">
        <v>391472.26</v>
      </c>
      <c r="AG124" s="101">
        <v>42208</v>
      </c>
      <c r="AH124" s="101">
        <v>56816</v>
      </c>
      <c r="AI124" s="101">
        <v>3772688.52</v>
      </c>
      <c r="AJ124" s="101">
        <v>5340402.5600000015</v>
      </c>
      <c r="AK124" s="101">
        <v>1220878.1100000001</v>
      </c>
      <c r="AL124" s="101">
        <v>2877844.54</v>
      </c>
      <c r="AM124" s="101">
        <v>1015650.06</v>
      </c>
      <c r="AN124" s="101">
        <v>2462558.02</v>
      </c>
      <c r="AO124" s="101">
        <v>1685412.79</v>
      </c>
      <c r="AP124" s="101">
        <v>98000</v>
      </c>
      <c r="AQ124" s="101">
        <v>0</v>
      </c>
      <c r="AR124" s="101">
        <v>0</v>
      </c>
      <c r="AS124" s="101">
        <v>0</v>
      </c>
      <c r="AT124" s="101">
        <v>679145.23</v>
      </c>
      <c r="AU124" s="101">
        <v>178608.37</v>
      </c>
    </row>
    <row r="125" spans="1:47">
      <c r="A125" s="102" t="s">
        <v>1004</v>
      </c>
      <c r="B125" s="102" t="e">
        <v>#N/A</v>
      </c>
      <c r="C125" s="101">
        <v>342610.89</v>
      </c>
      <c r="D125" s="101">
        <v>472760</v>
      </c>
      <c r="E125" s="101">
        <v>24941643.379999999</v>
      </c>
      <c r="F125" s="101">
        <v>37293791.609999999</v>
      </c>
      <c r="G125" s="101">
        <v>9720406.5</v>
      </c>
      <c r="H125" s="101">
        <v>21841571.100000001</v>
      </c>
      <c r="I125" s="101">
        <v>6916069.7599999998</v>
      </c>
      <c r="J125" s="101">
        <v>15452220.510000005</v>
      </c>
      <c r="K125" s="101">
        <v>12184867.140000002</v>
      </c>
      <c r="L125" s="101">
        <v>346777.07</v>
      </c>
      <c r="M125" s="101">
        <v>0</v>
      </c>
      <c r="N125" s="101">
        <v>0</v>
      </c>
      <c r="O125" s="101">
        <v>0</v>
      </c>
      <c r="P125" s="101">
        <v>2920576.3000000012</v>
      </c>
      <c r="Q125" s="101">
        <v>1587499.6</v>
      </c>
      <c r="R125" s="101">
        <v>616551.62</v>
      </c>
      <c r="S125" s="101">
        <v>813950</v>
      </c>
      <c r="T125" s="101">
        <v>46903368.140000001</v>
      </c>
      <c r="U125" s="101">
        <v>69906543.129999995</v>
      </c>
      <c r="V125" s="101">
        <v>17933388.740000002</v>
      </c>
      <c r="W125" s="101">
        <v>38435098.260000005</v>
      </c>
      <c r="X125" s="101">
        <v>11888659.999999998</v>
      </c>
      <c r="Y125" s="101">
        <v>31471444.870000001</v>
      </c>
      <c r="Z125" s="101">
        <v>20930593.800000001</v>
      </c>
      <c r="AA125" s="101">
        <v>594474.97</v>
      </c>
      <c r="AB125" s="101">
        <v>0</v>
      </c>
      <c r="AC125" s="101">
        <v>0</v>
      </c>
      <c r="AD125" s="101">
        <v>0</v>
      </c>
      <c r="AE125" s="101">
        <v>9946376.1000000015</v>
      </c>
      <c r="AF125" s="101">
        <v>2987565</v>
      </c>
      <c r="AG125" s="101">
        <v>337829</v>
      </c>
      <c r="AH125" s="101">
        <v>472760</v>
      </c>
      <c r="AI125" s="101">
        <v>24549001.010000005</v>
      </c>
      <c r="AJ125" s="101">
        <v>35862535.190000005</v>
      </c>
      <c r="AK125" s="101">
        <v>8965479.6200000029</v>
      </c>
      <c r="AL125" s="101">
        <v>21499416.82</v>
      </c>
      <c r="AM125" s="101">
        <v>6682204.8099999987</v>
      </c>
      <c r="AN125" s="101">
        <v>14363118.370000007</v>
      </c>
      <c r="AO125" s="101">
        <v>12187246.119999999</v>
      </c>
      <c r="AP125" s="101">
        <v>365952.44</v>
      </c>
      <c r="AQ125" s="101">
        <v>0</v>
      </c>
      <c r="AR125" s="101">
        <v>0</v>
      </c>
      <c r="AS125" s="101">
        <v>0</v>
      </c>
      <c r="AT125" s="101">
        <v>1809919.81</v>
      </c>
      <c r="AU125" s="101">
        <v>1510360.35</v>
      </c>
    </row>
    <row r="126" spans="1:47">
      <c r="A126" s="102" t="s">
        <v>1005</v>
      </c>
      <c r="B126" s="102" t="e">
        <v>#N/A</v>
      </c>
      <c r="C126" s="101">
        <v>593210.17000000004</v>
      </c>
      <c r="D126" s="101">
        <v>860084</v>
      </c>
      <c r="E126" s="101">
        <v>44288832.490000002</v>
      </c>
      <c r="F126" s="101">
        <v>64740957.490000017</v>
      </c>
      <c r="G126" s="101">
        <v>16145996.74000001</v>
      </c>
      <c r="H126" s="101">
        <v>36821964.770000003</v>
      </c>
      <c r="I126" s="101">
        <v>11883262.77</v>
      </c>
      <c r="J126" s="101">
        <v>27918992.719999995</v>
      </c>
      <c r="K126" s="101">
        <v>21575346.489999998</v>
      </c>
      <c r="L126" s="101">
        <v>553488.54</v>
      </c>
      <c r="M126" s="101">
        <v>0</v>
      </c>
      <c r="N126" s="101">
        <v>0</v>
      </c>
      <c r="O126" s="101">
        <v>0</v>
      </c>
      <c r="P126" s="101">
        <v>5790157.6899999958</v>
      </c>
      <c r="Q126" s="101">
        <v>2749908</v>
      </c>
      <c r="R126" s="101">
        <v>1069643.44</v>
      </c>
      <c r="S126" s="101">
        <v>1480805</v>
      </c>
      <c r="T126" s="101">
        <v>82608064.659999996</v>
      </c>
      <c r="U126" s="101">
        <v>120472701.10000001</v>
      </c>
      <c r="V126" s="101">
        <v>29679282.280000001</v>
      </c>
      <c r="W126" s="101">
        <v>64673304.450000003</v>
      </c>
      <c r="X126" s="101">
        <v>20444471.479999997</v>
      </c>
      <c r="Y126" s="101">
        <v>55799396.649999999</v>
      </c>
      <c r="Z126" s="101">
        <v>37028523.880000003</v>
      </c>
      <c r="AA126" s="101">
        <v>948837.49</v>
      </c>
      <c r="AB126" s="101">
        <v>0</v>
      </c>
      <c r="AC126" s="101">
        <v>0</v>
      </c>
      <c r="AD126" s="101">
        <v>0</v>
      </c>
      <c r="AE126" s="101">
        <v>17822035.27999999</v>
      </c>
      <c r="AF126" s="101">
        <v>5139961.25</v>
      </c>
      <c r="AG126" s="101">
        <v>593185</v>
      </c>
      <c r="AH126" s="101">
        <v>860084</v>
      </c>
      <c r="AI126" s="101">
        <v>44985833.939999998</v>
      </c>
      <c r="AJ126" s="101">
        <v>63914810.309999995</v>
      </c>
      <c r="AK126" s="101">
        <v>14805692.23</v>
      </c>
      <c r="AL126" s="101">
        <v>36773220.570000008</v>
      </c>
      <c r="AM126" s="101">
        <v>11556598.32</v>
      </c>
      <c r="AN126" s="101">
        <v>27141589.74000001</v>
      </c>
      <c r="AO126" s="101">
        <v>21364177.109999999</v>
      </c>
      <c r="AP126" s="101">
        <v>575933.27</v>
      </c>
      <c r="AQ126" s="101">
        <v>0</v>
      </c>
      <c r="AR126" s="101">
        <v>0</v>
      </c>
      <c r="AS126" s="101">
        <v>0</v>
      </c>
      <c r="AT126" s="101">
        <v>5201479.3599999929</v>
      </c>
      <c r="AU126" s="101">
        <v>2689641.56</v>
      </c>
    </row>
    <row r="127" spans="1:47">
      <c r="A127" s="102" t="s">
        <v>1006</v>
      </c>
      <c r="B127" s="102" t="e">
        <v>#N/A</v>
      </c>
      <c r="C127" s="101">
        <v>0</v>
      </c>
      <c r="D127" s="101">
        <v>0</v>
      </c>
      <c r="E127" s="101">
        <v>0</v>
      </c>
      <c r="F127" s="101">
        <v>0</v>
      </c>
      <c r="G127" s="101">
        <v>0</v>
      </c>
      <c r="H127" s="101">
        <v>0</v>
      </c>
      <c r="I127" s="101">
        <v>0</v>
      </c>
      <c r="J127" s="101">
        <v>0</v>
      </c>
      <c r="K127" s="101">
        <v>0</v>
      </c>
      <c r="L127" s="101">
        <v>0</v>
      </c>
      <c r="M127" s="101">
        <v>0</v>
      </c>
      <c r="N127" s="101">
        <v>0</v>
      </c>
      <c r="O127" s="101">
        <v>0</v>
      </c>
      <c r="P127" s="101">
        <v>0</v>
      </c>
      <c r="Q127" s="101">
        <v>0</v>
      </c>
      <c r="R127" s="101">
        <v>0</v>
      </c>
      <c r="S127" s="101">
        <v>0</v>
      </c>
      <c r="T127" s="101">
        <v>0</v>
      </c>
      <c r="U127" s="101">
        <v>0</v>
      </c>
      <c r="V127" s="101">
        <v>0</v>
      </c>
      <c r="W127" s="101">
        <v>0</v>
      </c>
      <c r="X127" s="101">
        <v>0</v>
      </c>
      <c r="Y127" s="101">
        <v>0</v>
      </c>
      <c r="Z127" s="101">
        <v>0</v>
      </c>
      <c r="AA127" s="101">
        <v>0</v>
      </c>
      <c r="AB127" s="101">
        <v>0</v>
      </c>
      <c r="AC127" s="101">
        <v>0</v>
      </c>
      <c r="AD127" s="101">
        <v>0</v>
      </c>
      <c r="AE127" s="101">
        <v>0</v>
      </c>
      <c r="AF127" s="101">
        <v>0</v>
      </c>
      <c r="AG127" s="101">
        <v>0</v>
      </c>
      <c r="AH127" s="101">
        <v>0</v>
      </c>
      <c r="AI127" s="101">
        <v>0</v>
      </c>
      <c r="AJ127" s="101">
        <v>0</v>
      </c>
      <c r="AK127" s="101">
        <v>0</v>
      </c>
      <c r="AL127" s="101">
        <v>0</v>
      </c>
      <c r="AM127" s="101">
        <v>0</v>
      </c>
      <c r="AN127" s="101">
        <v>0</v>
      </c>
      <c r="AO127" s="101">
        <v>0</v>
      </c>
      <c r="AP127" s="101">
        <v>0</v>
      </c>
      <c r="AQ127" s="101">
        <v>0</v>
      </c>
      <c r="AR127" s="101">
        <v>0</v>
      </c>
      <c r="AS127" s="101">
        <v>0</v>
      </c>
      <c r="AT127" s="101">
        <v>0</v>
      </c>
      <c r="AU127" s="101">
        <v>0</v>
      </c>
    </row>
    <row r="128" spans="1:47">
      <c r="A128" s="102" t="s">
        <v>449</v>
      </c>
      <c r="B128" s="102" t="s">
        <v>121</v>
      </c>
      <c r="C128" s="101">
        <v>18142</v>
      </c>
      <c r="D128" s="101">
        <v>32224</v>
      </c>
      <c r="E128" s="101">
        <v>884199.42</v>
      </c>
      <c r="F128" s="101">
        <v>1426781.56</v>
      </c>
      <c r="G128" s="101">
        <v>462260.92</v>
      </c>
      <c r="H128" s="101">
        <v>1086510.8899999999</v>
      </c>
      <c r="I128" s="101">
        <v>408681.78</v>
      </c>
      <c r="J128" s="101">
        <v>340270.67</v>
      </c>
      <c r="K128" s="101">
        <v>188527.08</v>
      </c>
      <c r="L128" s="101">
        <v>9527</v>
      </c>
      <c r="M128" s="101">
        <v>0</v>
      </c>
      <c r="N128" s="101">
        <v>0</v>
      </c>
      <c r="O128" s="101">
        <v>0</v>
      </c>
      <c r="P128" s="101">
        <v>142216.59</v>
      </c>
      <c r="Q128" s="101">
        <v>62778.38</v>
      </c>
      <c r="R128" s="101">
        <v>30891</v>
      </c>
      <c r="S128" s="101">
        <v>55480</v>
      </c>
      <c r="T128" s="101">
        <v>1501957.8</v>
      </c>
      <c r="U128" s="101">
        <v>2434966.5300000012</v>
      </c>
      <c r="V128" s="101">
        <v>791443.64</v>
      </c>
      <c r="W128" s="101">
        <v>1857393.78</v>
      </c>
      <c r="X128" s="101">
        <v>702538.59</v>
      </c>
      <c r="Y128" s="101">
        <v>577572.75</v>
      </c>
      <c r="Z128" s="101">
        <v>323189.28000000003</v>
      </c>
      <c r="AA128" s="101">
        <v>16332</v>
      </c>
      <c r="AB128" s="101">
        <v>0</v>
      </c>
      <c r="AC128" s="101">
        <v>0</v>
      </c>
      <c r="AD128" s="101">
        <v>0</v>
      </c>
      <c r="AE128" s="101">
        <v>238051.47</v>
      </c>
      <c r="AF128" s="101">
        <v>107138.52</v>
      </c>
      <c r="AG128" s="101">
        <v>17491</v>
      </c>
      <c r="AH128" s="101">
        <v>32224</v>
      </c>
      <c r="AI128" s="101">
        <v>883904.46</v>
      </c>
      <c r="AJ128" s="101">
        <v>1399595.47</v>
      </c>
      <c r="AK128" s="101">
        <v>434197.68</v>
      </c>
      <c r="AL128" s="101">
        <v>1054624.48</v>
      </c>
      <c r="AM128" s="101">
        <v>398834.88</v>
      </c>
      <c r="AN128" s="101">
        <v>344970.99</v>
      </c>
      <c r="AO128" s="101">
        <v>186666.69</v>
      </c>
      <c r="AP128" s="101">
        <v>9520.2800000000007</v>
      </c>
      <c r="AQ128" s="101">
        <v>0</v>
      </c>
      <c r="AR128" s="101">
        <v>0</v>
      </c>
      <c r="AS128" s="101">
        <v>0</v>
      </c>
      <c r="AT128" s="101">
        <v>148784.01999999999</v>
      </c>
      <c r="AU128" s="101">
        <v>60792.81</v>
      </c>
    </row>
    <row r="129" spans="1:47">
      <c r="A129" s="102" t="s">
        <v>442</v>
      </c>
      <c r="B129" s="102" t="s">
        <v>118</v>
      </c>
      <c r="C129" s="101">
        <v>38328</v>
      </c>
      <c r="D129" s="101">
        <v>57028</v>
      </c>
      <c r="E129" s="101">
        <v>1839232.64</v>
      </c>
      <c r="F129" s="101">
        <v>2981384.77</v>
      </c>
      <c r="G129" s="101">
        <v>887156.25</v>
      </c>
      <c r="H129" s="101">
        <v>1960826.99</v>
      </c>
      <c r="I129" s="101">
        <v>535351.37</v>
      </c>
      <c r="J129" s="101">
        <v>1020557.780000001</v>
      </c>
      <c r="K129" s="101">
        <v>825041.42</v>
      </c>
      <c r="L129" s="101">
        <v>27160</v>
      </c>
      <c r="M129" s="101">
        <v>0</v>
      </c>
      <c r="N129" s="101">
        <v>0</v>
      </c>
      <c r="O129" s="101">
        <v>0</v>
      </c>
      <c r="P129" s="101">
        <v>168356.36</v>
      </c>
      <c r="Q129" s="101">
        <v>131180.93</v>
      </c>
      <c r="R129" s="101">
        <v>69123</v>
      </c>
      <c r="S129" s="101">
        <v>98185</v>
      </c>
      <c r="T129" s="101">
        <v>3497834.95</v>
      </c>
      <c r="U129" s="101">
        <v>5584247.290000001</v>
      </c>
      <c r="V129" s="101">
        <v>1600503.79</v>
      </c>
      <c r="W129" s="101">
        <v>3427570.23</v>
      </c>
      <c r="X129" s="101">
        <v>927148.02</v>
      </c>
      <c r="Y129" s="101">
        <v>2156677.06</v>
      </c>
      <c r="Z129" s="101">
        <v>1414356.72</v>
      </c>
      <c r="AA129" s="101">
        <v>46560</v>
      </c>
      <c r="AB129" s="101">
        <v>0</v>
      </c>
      <c r="AC129" s="101">
        <v>0</v>
      </c>
      <c r="AD129" s="101">
        <v>0</v>
      </c>
      <c r="AE129" s="101">
        <v>695760.34</v>
      </c>
      <c r="AF129" s="101">
        <v>245706.88</v>
      </c>
      <c r="AG129" s="101">
        <v>37989</v>
      </c>
      <c r="AH129" s="101">
        <v>57028</v>
      </c>
      <c r="AI129" s="101">
        <v>1769081.83</v>
      </c>
      <c r="AJ129" s="101">
        <v>2858027.43</v>
      </c>
      <c r="AK129" s="101">
        <v>860004.35</v>
      </c>
      <c r="AL129" s="101">
        <v>1937516.56</v>
      </c>
      <c r="AM129" s="101">
        <v>502559.25</v>
      </c>
      <c r="AN129" s="101">
        <v>920510.87</v>
      </c>
      <c r="AO129" s="101">
        <v>816666.69</v>
      </c>
      <c r="AP129" s="101">
        <v>27160</v>
      </c>
      <c r="AQ129" s="101">
        <v>0</v>
      </c>
      <c r="AR129" s="101">
        <v>0</v>
      </c>
      <c r="AS129" s="101">
        <v>0</v>
      </c>
      <c r="AT129" s="101">
        <v>76684.179999999993</v>
      </c>
      <c r="AU129" s="101">
        <v>124133.66</v>
      </c>
    </row>
    <row r="130" spans="1:47">
      <c r="A130" s="102" t="s">
        <v>450</v>
      </c>
      <c r="B130" s="102" t="s">
        <v>122</v>
      </c>
      <c r="C130" s="101">
        <v>18615.02</v>
      </c>
      <c r="D130" s="101">
        <v>29256</v>
      </c>
      <c r="E130" s="101">
        <v>1831791.34</v>
      </c>
      <c r="F130" s="101">
        <v>2431033.19</v>
      </c>
      <c r="G130" s="101">
        <v>438909.49</v>
      </c>
      <c r="H130" s="101">
        <v>1144664.7</v>
      </c>
      <c r="I130" s="101">
        <v>395908.18</v>
      </c>
      <c r="J130" s="101">
        <v>1286368.4900000009</v>
      </c>
      <c r="K130" s="101">
        <v>407885.87</v>
      </c>
      <c r="L130" s="101">
        <v>12774.58</v>
      </c>
      <c r="M130" s="101">
        <v>0</v>
      </c>
      <c r="N130" s="101">
        <v>0</v>
      </c>
      <c r="O130" s="101">
        <v>0</v>
      </c>
      <c r="P130" s="101">
        <v>865708.04000000097</v>
      </c>
      <c r="Q130" s="101">
        <v>106965.47</v>
      </c>
      <c r="R130" s="101">
        <v>31394.03</v>
      </c>
      <c r="S130" s="101">
        <v>50370</v>
      </c>
      <c r="T130" s="101">
        <v>3120250.24</v>
      </c>
      <c r="U130" s="101">
        <v>4096142.58</v>
      </c>
      <c r="V130" s="101">
        <v>710628.23</v>
      </c>
      <c r="W130" s="101">
        <v>1939979.03</v>
      </c>
      <c r="X130" s="101">
        <v>685065.52</v>
      </c>
      <c r="Y130" s="101">
        <v>2156163.5499999998</v>
      </c>
      <c r="Z130" s="101">
        <v>699232.92</v>
      </c>
      <c r="AA130" s="101">
        <v>21899.279999999999</v>
      </c>
      <c r="AB130" s="101">
        <v>0</v>
      </c>
      <c r="AC130" s="101">
        <v>0</v>
      </c>
      <c r="AD130" s="101">
        <v>0</v>
      </c>
      <c r="AE130" s="101">
        <v>1435031.35</v>
      </c>
      <c r="AF130" s="101">
        <v>180230.28</v>
      </c>
      <c r="AG130" s="101">
        <v>19156</v>
      </c>
      <c r="AH130" s="101">
        <v>29256</v>
      </c>
      <c r="AI130" s="101">
        <v>1866408.57</v>
      </c>
      <c r="AJ130" s="101">
        <v>2398123.7100000009</v>
      </c>
      <c r="AK130" s="101">
        <v>387390.89</v>
      </c>
      <c r="AL130" s="101">
        <v>1142945.6499999999</v>
      </c>
      <c r="AM130" s="101">
        <v>373851.02</v>
      </c>
      <c r="AN130" s="101">
        <v>1255178.06</v>
      </c>
      <c r="AO130" s="101">
        <v>552499.43000000005</v>
      </c>
      <c r="AP130" s="101">
        <v>12774.58</v>
      </c>
      <c r="AQ130" s="101">
        <v>0</v>
      </c>
      <c r="AR130" s="101">
        <v>0</v>
      </c>
      <c r="AS130" s="101">
        <v>0</v>
      </c>
      <c r="AT130" s="101">
        <v>689904.05</v>
      </c>
      <c r="AU130" s="101">
        <v>104814.93</v>
      </c>
    </row>
    <row r="131" spans="1:47">
      <c r="A131" s="102" t="s">
        <v>443</v>
      </c>
      <c r="B131" s="102" t="s">
        <v>444</v>
      </c>
      <c r="C131" s="101">
        <v>37705</v>
      </c>
      <c r="D131" s="101">
        <v>65296</v>
      </c>
      <c r="E131" s="101">
        <v>2099322.4300000002</v>
      </c>
      <c r="F131" s="101">
        <v>3499965.14</v>
      </c>
      <c r="G131" s="101">
        <v>1195624.98</v>
      </c>
      <c r="H131" s="101">
        <v>2071958.62</v>
      </c>
      <c r="I131" s="101">
        <v>628403.03</v>
      </c>
      <c r="J131" s="101">
        <v>1428006.52</v>
      </c>
      <c r="K131" s="101">
        <v>0</v>
      </c>
      <c r="L131" s="101">
        <v>29435</v>
      </c>
      <c r="M131" s="101">
        <v>0</v>
      </c>
      <c r="N131" s="101">
        <v>0</v>
      </c>
      <c r="O131" s="101">
        <v>0</v>
      </c>
      <c r="P131" s="101">
        <v>1398571.52</v>
      </c>
      <c r="Q131" s="101">
        <v>153998.47</v>
      </c>
      <c r="R131" s="101">
        <v>66472</v>
      </c>
      <c r="S131" s="101">
        <v>112420</v>
      </c>
      <c r="T131" s="101">
        <v>3727754.25</v>
      </c>
      <c r="U131" s="101">
        <v>6201196.25</v>
      </c>
      <c r="V131" s="101">
        <v>2113415.16</v>
      </c>
      <c r="W131" s="101">
        <v>3538903.9799999991</v>
      </c>
      <c r="X131" s="101">
        <v>1060950.31</v>
      </c>
      <c r="Y131" s="101">
        <v>2662292.27</v>
      </c>
      <c r="Z131" s="101">
        <v>0</v>
      </c>
      <c r="AA131" s="101">
        <v>50460</v>
      </c>
      <c r="AB131" s="101">
        <v>0</v>
      </c>
      <c r="AC131" s="101">
        <v>0</v>
      </c>
      <c r="AD131" s="101">
        <v>0</v>
      </c>
      <c r="AE131" s="101">
        <v>2611832.27</v>
      </c>
      <c r="AF131" s="101">
        <v>272852.64</v>
      </c>
      <c r="AG131" s="101">
        <v>39720</v>
      </c>
      <c r="AH131" s="101">
        <v>65296</v>
      </c>
      <c r="AI131" s="101">
        <v>2226703.83</v>
      </c>
      <c r="AJ131" s="101">
        <v>3516613.6</v>
      </c>
      <c r="AK131" s="101">
        <v>1110782.43</v>
      </c>
      <c r="AL131" s="101">
        <v>2018626.61</v>
      </c>
      <c r="AM131" s="101">
        <v>601597.68000000005</v>
      </c>
      <c r="AN131" s="101">
        <v>1497986.9899999991</v>
      </c>
      <c r="AO131" s="101">
        <v>0</v>
      </c>
      <c r="AP131" s="101">
        <v>29290.67</v>
      </c>
      <c r="AQ131" s="101">
        <v>0</v>
      </c>
      <c r="AR131" s="101">
        <v>0</v>
      </c>
      <c r="AS131" s="101">
        <v>0</v>
      </c>
      <c r="AT131" s="101">
        <v>1468696.3199999989</v>
      </c>
      <c r="AU131" s="101">
        <v>153295.01</v>
      </c>
    </row>
    <row r="132" spans="1:47">
      <c r="A132" s="102" t="s">
        <v>466</v>
      </c>
      <c r="B132" s="102" t="s">
        <v>134</v>
      </c>
      <c r="C132" s="101">
        <v>17191.439999999999</v>
      </c>
      <c r="D132" s="101">
        <v>30104</v>
      </c>
      <c r="E132" s="101">
        <v>796450.92</v>
      </c>
      <c r="F132" s="101">
        <v>1466156.16</v>
      </c>
      <c r="G132" s="101">
        <v>611604.12</v>
      </c>
      <c r="H132" s="101">
        <v>1086124.52</v>
      </c>
      <c r="I132" s="101">
        <v>447347.75</v>
      </c>
      <c r="J132" s="101">
        <v>380031.64</v>
      </c>
      <c r="K132" s="101">
        <v>285506.90999999997</v>
      </c>
      <c r="L132" s="101">
        <v>3628.45</v>
      </c>
      <c r="M132" s="101">
        <v>0</v>
      </c>
      <c r="N132" s="101">
        <v>0</v>
      </c>
      <c r="O132" s="101">
        <v>0</v>
      </c>
      <c r="P132" s="101">
        <v>90896.28</v>
      </c>
      <c r="Q132" s="101">
        <v>73307.8</v>
      </c>
      <c r="R132" s="101">
        <v>29385.66</v>
      </c>
      <c r="S132" s="101">
        <v>51830</v>
      </c>
      <c r="T132" s="101">
        <v>1369877.3</v>
      </c>
      <c r="U132" s="101">
        <v>2545651.27</v>
      </c>
      <c r="V132" s="101">
        <v>1072141.18</v>
      </c>
      <c r="W132" s="101">
        <v>1821685.38</v>
      </c>
      <c r="X132" s="101">
        <v>738524.66</v>
      </c>
      <c r="Y132" s="101">
        <v>723965.89</v>
      </c>
      <c r="Z132" s="101">
        <v>555350.5</v>
      </c>
      <c r="AA132" s="101">
        <v>6220.2</v>
      </c>
      <c r="AB132" s="101">
        <v>0</v>
      </c>
      <c r="AC132" s="101">
        <v>0</v>
      </c>
      <c r="AD132" s="101">
        <v>0</v>
      </c>
      <c r="AE132" s="101">
        <v>162395.19</v>
      </c>
      <c r="AF132" s="101">
        <v>127282.54</v>
      </c>
      <c r="AG132" s="101">
        <v>18514</v>
      </c>
      <c r="AH132" s="101">
        <v>30104</v>
      </c>
      <c r="AI132" s="101">
        <v>865788.55</v>
      </c>
      <c r="AJ132" s="101">
        <v>1520024.9200000011</v>
      </c>
      <c r="AK132" s="101">
        <v>620316.37</v>
      </c>
      <c r="AL132" s="101">
        <v>1103354.01</v>
      </c>
      <c r="AM132" s="101">
        <v>418768.45</v>
      </c>
      <c r="AN132" s="101">
        <v>416670.91</v>
      </c>
      <c r="AO132" s="101">
        <v>285875.08</v>
      </c>
      <c r="AP132" s="101">
        <v>3924.62</v>
      </c>
      <c r="AQ132" s="101">
        <v>0</v>
      </c>
      <c r="AR132" s="101">
        <v>0</v>
      </c>
      <c r="AS132" s="101">
        <v>0</v>
      </c>
      <c r="AT132" s="101">
        <v>126871.21</v>
      </c>
      <c r="AU132" s="101">
        <v>76001.240000000005</v>
      </c>
    </row>
    <row r="133" spans="1:47">
      <c r="A133" s="102" t="s">
        <v>436</v>
      </c>
      <c r="B133" s="102" t="s">
        <v>114</v>
      </c>
      <c r="C133" s="101">
        <v>16551.12</v>
      </c>
      <c r="D133" s="101">
        <v>25016</v>
      </c>
      <c r="E133" s="101">
        <v>1261852.77</v>
      </c>
      <c r="F133" s="101">
        <v>1578262.08</v>
      </c>
      <c r="G133" s="101">
        <v>221982.66</v>
      </c>
      <c r="H133" s="101">
        <v>837686.59</v>
      </c>
      <c r="I133" s="101">
        <v>274009.84999999998</v>
      </c>
      <c r="J133" s="101">
        <v>740575.49</v>
      </c>
      <c r="K133" s="101">
        <v>577698.03</v>
      </c>
      <c r="L133" s="101">
        <v>15436.4</v>
      </c>
      <c r="M133" s="101">
        <v>0</v>
      </c>
      <c r="N133" s="101">
        <v>0</v>
      </c>
      <c r="O133" s="101">
        <v>0</v>
      </c>
      <c r="P133" s="101">
        <v>147441.06</v>
      </c>
      <c r="Q133" s="101">
        <v>69443.520000000004</v>
      </c>
      <c r="R133" s="101">
        <v>28647.24</v>
      </c>
      <c r="S133" s="101">
        <v>43070</v>
      </c>
      <c r="T133" s="101">
        <v>2411368.5299999998</v>
      </c>
      <c r="U133" s="101">
        <v>2961290.24</v>
      </c>
      <c r="V133" s="101">
        <v>385486.41</v>
      </c>
      <c r="W133" s="101">
        <v>1419572.69</v>
      </c>
      <c r="X133" s="101">
        <v>469995.68</v>
      </c>
      <c r="Y133" s="101">
        <v>1541717.55</v>
      </c>
      <c r="Z133" s="101">
        <v>990339.48</v>
      </c>
      <c r="AA133" s="101">
        <v>26462.400000000001</v>
      </c>
      <c r="AB133" s="101">
        <v>0</v>
      </c>
      <c r="AC133" s="101">
        <v>0</v>
      </c>
      <c r="AD133" s="101">
        <v>0</v>
      </c>
      <c r="AE133" s="101">
        <v>524915.67000000004</v>
      </c>
      <c r="AF133" s="101">
        <v>130296.77</v>
      </c>
      <c r="AG133" s="101">
        <v>16564</v>
      </c>
      <c r="AH133" s="101">
        <v>25016</v>
      </c>
      <c r="AI133" s="101">
        <v>1316555.6499999999</v>
      </c>
      <c r="AJ133" s="101">
        <v>1622391.57</v>
      </c>
      <c r="AK133" s="101">
        <v>197045.67</v>
      </c>
      <c r="AL133" s="101">
        <v>778322.27</v>
      </c>
      <c r="AM133" s="101">
        <v>245018.87</v>
      </c>
      <c r="AN133" s="101">
        <v>844069.3</v>
      </c>
      <c r="AO133" s="101">
        <v>580796.79</v>
      </c>
      <c r="AP133" s="101">
        <v>15436.4</v>
      </c>
      <c r="AQ133" s="101">
        <v>0</v>
      </c>
      <c r="AR133" s="101">
        <v>0</v>
      </c>
      <c r="AS133" s="101">
        <v>0</v>
      </c>
      <c r="AT133" s="101">
        <v>247836.11</v>
      </c>
      <c r="AU133" s="101">
        <v>71051.22</v>
      </c>
    </row>
    <row r="134" spans="1:47">
      <c r="A134" s="102" t="s">
        <v>445</v>
      </c>
      <c r="B134" s="102" t="s">
        <v>119</v>
      </c>
      <c r="C134" s="101">
        <v>14737.01</v>
      </c>
      <c r="D134" s="101">
        <v>23532</v>
      </c>
      <c r="E134" s="101">
        <v>1042350.56</v>
      </c>
      <c r="F134" s="101">
        <v>1852440.19</v>
      </c>
      <c r="G134" s="101">
        <v>650702.18999999994</v>
      </c>
      <c r="H134" s="101">
        <v>1419868.66</v>
      </c>
      <c r="I134" s="101">
        <v>557864.68999999994</v>
      </c>
      <c r="J134" s="101">
        <v>432571.53</v>
      </c>
      <c r="K134" s="101">
        <v>476884.59</v>
      </c>
      <c r="L134" s="101">
        <v>25317.95</v>
      </c>
      <c r="M134" s="101">
        <v>0</v>
      </c>
      <c r="N134" s="101">
        <v>0</v>
      </c>
      <c r="O134" s="101">
        <v>0</v>
      </c>
      <c r="P134" s="101">
        <v>-69631.009999999995</v>
      </c>
      <c r="Q134" s="101">
        <v>81507.37</v>
      </c>
      <c r="R134" s="101">
        <v>25929.06</v>
      </c>
      <c r="S134" s="101">
        <v>40515</v>
      </c>
      <c r="T134" s="101">
        <v>1888119.14</v>
      </c>
      <c r="U134" s="101">
        <v>3434504.7</v>
      </c>
      <c r="V134" s="101">
        <v>1255781.1299999999</v>
      </c>
      <c r="W134" s="101">
        <v>2474786.92</v>
      </c>
      <c r="X134" s="101">
        <v>955749.72</v>
      </c>
      <c r="Y134" s="101">
        <v>959717.78</v>
      </c>
      <c r="Z134" s="101">
        <v>817516.44</v>
      </c>
      <c r="AA134" s="101">
        <v>43402.2</v>
      </c>
      <c r="AB134" s="101">
        <v>0</v>
      </c>
      <c r="AC134" s="101">
        <v>0</v>
      </c>
      <c r="AD134" s="101">
        <v>0</v>
      </c>
      <c r="AE134" s="101">
        <v>98799.14</v>
      </c>
      <c r="AF134" s="101">
        <v>151118.20000000001</v>
      </c>
      <c r="AG134" s="101">
        <v>13802</v>
      </c>
      <c r="AH134" s="101">
        <v>23532</v>
      </c>
      <c r="AI134" s="101">
        <v>1107766.78</v>
      </c>
      <c r="AJ134" s="101">
        <v>1929285.28</v>
      </c>
      <c r="AK134" s="101">
        <v>674688.28</v>
      </c>
      <c r="AL134" s="101">
        <v>1464106.63</v>
      </c>
      <c r="AM134" s="101">
        <v>522713.06</v>
      </c>
      <c r="AN134" s="101">
        <v>465178.65</v>
      </c>
      <c r="AO134" s="101">
        <v>478541.56</v>
      </c>
      <c r="AP134" s="101">
        <v>25318.12</v>
      </c>
      <c r="AQ134" s="101">
        <v>0</v>
      </c>
      <c r="AR134" s="101">
        <v>0</v>
      </c>
      <c r="AS134" s="101">
        <v>0</v>
      </c>
      <c r="AT134" s="101">
        <v>-38681.03</v>
      </c>
      <c r="AU134" s="101">
        <v>83859.06</v>
      </c>
    </row>
    <row r="135" spans="1:47">
      <c r="A135" s="102" t="s">
        <v>470</v>
      </c>
      <c r="B135" s="102" t="s">
        <v>136</v>
      </c>
      <c r="C135" s="101">
        <v>14803</v>
      </c>
      <c r="D135" s="101">
        <v>30528</v>
      </c>
      <c r="E135" s="101">
        <v>689821.73</v>
      </c>
      <c r="F135" s="101">
        <v>1096959.42</v>
      </c>
      <c r="G135" s="101">
        <v>373642.46</v>
      </c>
      <c r="H135" s="101">
        <v>851708.94</v>
      </c>
      <c r="I135" s="101">
        <v>309294.15000000002</v>
      </c>
      <c r="J135" s="101">
        <v>245250.48</v>
      </c>
      <c r="K135" s="101">
        <v>210396.19</v>
      </c>
      <c r="L135" s="101">
        <v>12058.83</v>
      </c>
      <c r="M135" s="101">
        <v>0</v>
      </c>
      <c r="N135" s="101">
        <v>0</v>
      </c>
      <c r="O135" s="101">
        <v>0</v>
      </c>
      <c r="P135" s="101">
        <v>22795.46</v>
      </c>
      <c r="Q135" s="101">
        <v>48266.22</v>
      </c>
      <c r="R135" s="101">
        <v>27431</v>
      </c>
      <c r="S135" s="101">
        <v>52560</v>
      </c>
      <c r="T135" s="101">
        <v>1267047.58</v>
      </c>
      <c r="U135" s="101">
        <v>2007656.3</v>
      </c>
      <c r="V135" s="101">
        <v>678746.48</v>
      </c>
      <c r="W135" s="101">
        <v>1501284.65</v>
      </c>
      <c r="X135" s="101">
        <v>534749.05000000005</v>
      </c>
      <c r="Y135" s="101">
        <v>506371.65</v>
      </c>
      <c r="Z135" s="101">
        <v>413064.34</v>
      </c>
      <c r="AA135" s="101">
        <v>20672.28</v>
      </c>
      <c r="AB135" s="101">
        <v>0</v>
      </c>
      <c r="AC135" s="101">
        <v>0</v>
      </c>
      <c r="AD135" s="101">
        <v>0</v>
      </c>
      <c r="AE135" s="101">
        <v>72635.03</v>
      </c>
      <c r="AF135" s="101">
        <v>88336.89</v>
      </c>
      <c r="AG135" s="101">
        <v>17410</v>
      </c>
      <c r="AH135" s="101">
        <v>30528</v>
      </c>
      <c r="AI135" s="101">
        <v>817287.31</v>
      </c>
      <c r="AJ135" s="101">
        <v>1303467.99</v>
      </c>
      <c r="AK135" s="101">
        <v>442862.17</v>
      </c>
      <c r="AL135" s="101">
        <v>897779.09</v>
      </c>
      <c r="AM135" s="101">
        <v>314702.44</v>
      </c>
      <c r="AN135" s="101">
        <v>405688.9</v>
      </c>
      <c r="AO135" s="101">
        <v>310594.65000000002</v>
      </c>
      <c r="AP135" s="101">
        <v>12054.7</v>
      </c>
      <c r="AQ135" s="101">
        <v>0</v>
      </c>
      <c r="AR135" s="101">
        <v>0</v>
      </c>
      <c r="AS135" s="101">
        <v>0</v>
      </c>
      <c r="AT135" s="101">
        <v>83039.55</v>
      </c>
      <c r="AU135" s="101">
        <v>56785.67</v>
      </c>
    </row>
    <row r="136" spans="1:47">
      <c r="A136" s="102" t="s">
        <v>394</v>
      </c>
      <c r="B136" s="102" t="s">
        <v>395</v>
      </c>
      <c r="C136" s="101">
        <v>21564</v>
      </c>
      <c r="D136" s="101">
        <v>33920</v>
      </c>
      <c r="E136" s="101">
        <v>1076051.89351633</v>
      </c>
      <c r="F136" s="101">
        <v>1596021.35693062</v>
      </c>
      <c r="G136" s="101">
        <v>401243.05216299999</v>
      </c>
      <c r="H136" s="101">
        <v>904596.64759022999</v>
      </c>
      <c r="I136" s="101">
        <v>305887.43654203002</v>
      </c>
      <c r="J136" s="101">
        <v>691424.70934039005</v>
      </c>
      <c r="K136" s="101">
        <v>612014.63314298994</v>
      </c>
      <c r="L136" s="101">
        <v>22616.65</v>
      </c>
      <c r="M136" s="101">
        <v>0</v>
      </c>
      <c r="N136" s="101">
        <v>0</v>
      </c>
      <c r="O136" s="101">
        <v>0</v>
      </c>
      <c r="P136" s="101">
        <v>56793.426197399996</v>
      </c>
      <c r="Q136" s="101">
        <v>70224.939686989994</v>
      </c>
      <c r="R136" s="101">
        <v>38932</v>
      </c>
      <c r="S136" s="101">
        <v>58400</v>
      </c>
      <c r="T136" s="101">
        <v>1919954.87929633</v>
      </c>
      <c r="U136" s="101">
        <v>2858783.1844087802</v>
      </c>
      <c r="V136" s="101">
        <v>743845.62744012999</v>
      </c>
      <c r="W136" s="101">
        <v>1580121.6605043199</v>
      </c>
      <c r="X136" s="101">
        <v>524378.46264348004</v>
      </c>
      <c r="Y136" s="101">
        <v>1278661.52390446</v>
      </c>
      <c r="Z136" s="101">
        <v>1049167.9425308399</v>
      </c>
      <c r="AA136" s="101">
        <v>38771.4</v>
      </c>
      <c r="AB136" s="101">
        <v>0</v>
      </c>
      <c r="AC136" s="101">
        <v>0</v>
      </c>
      <c r="AD136" s="101">
        <v>0</v>
      </c>
      <c r="AE136" s="101">
        <v>190722.18137362</v>
      </c>
      <c r="AF136" s="101">
        <v>125786.4601197</v>
      </c>
      <c r="AG136" s="101">
        <v>22510</v>
      </c>
      <c r="AH136" s="101">
        <v>33920</v>
      </c>
      <c r="AI136" s="101">
        <v>1090644.1226999999</v>
      </c>
      <c r="AJ136" s="101">
        <v>1578090.6768</v>
      </c>
      <c r="AK136" s="101">
        <v>389828.66340000002</v>
      </c>
      <c r="AL136" s="101">
        <v>873760.02327899996</v>
      </c>
      <c r="AM136" s="101">
        <v>280778.75350799999</v>
      </c>
      <c r="AN136" s="101">
        <v>704330.65352100099</v>
      </c>
      <c r="AO136" s="101">
        <v>805678.02648300002</v>
      </c>
      <c r="AP136" s="101">
        <v>23068.583999999999</v>
      </c>
      <c r="AQ136" s="101">
        <v>0</v>
      </c>
      <c r="AR136" s="101">
        <v>0</v>
      </c>
      <c r="AS136" s="101">
        <v>0</v>
      </c>
      <c r="AT136" s="101">
        <v>-124415.956962</v>
      </c>
      <c r="AU136" s="101">
        <v>69435.989799000003</v>
      </c>
    </row>
    <row r="137" spans="1:47">
      <c r="A137" s="102" t="s">
        <v>437</v>
      </c>
      <c r="B137" s="102" t="s">
        <v>115</v>
      </c>
      <c r="C137" s="101">
        <v>39019</v>
      </c>
      <c r="D137" s="101">
        <v>51728</v>
      </c>
      <c r="E137" s="101">
        <v>3920696.96</v>
      </c>
      <c r="F137" s="101">
        <v>5404221.330000001</v>
      </c>
      <c r="G137" s="101">
        <v>1141940.58</v>
      </c>
      <c r="H137" s="101">
        <v>2557442.06</v>
      </c>
      <c r="I137" s="101">
        <v>699646.97</v>
      </c>
      <c r="J137" s="101">
        <v>2846779.2700000009</v>
      </c>
      <c r="K137" s="101">
        <v>943212.45</v>
      </c>
      <c r="L137" s="101">
        <v>29483.23</v>
      </c>
      <c r="M137" s="101">
        <v>0</v>
      </c>
      <c r="N137" s="101">
        <v>0</v>
      </c>
      <c r="O137" s="101">
        <v>0</v>
      </c>
      <c r="P137" s="101">
        <v>1874083.59</v>
      </c>
      <c r="Q137" s="101">
        <v>237785.74</v>
      </c>
      <c r="R137" s="101">
        <v>68264</v>
      </c>
      <c r="S137" s="101">
        <v>89060</v>
      </c>
      <c r="T137" s="101">
        <v>6932782.0599999996</v>
      </c>
      <c r="U137" s="101">
        <v>9517362.0500000007</v>
      </c>
      <c r="V137" s="101">
        <v>1966153.22</v>
      </c>
      <c r="W137" s="101">
        <v>4445457.25</v>
      </c>
      <c r="X137" s="101">
        <v>1223670.3799999999</v>
      </c>
      <c r="Y137" s="101">
        <v>5071904.8</v>
      </c>
      <c r="Z137" s="101">
        <v>1617522.36</v>
      </c>
      <c r="AA137" s="101">
        <v>50542.68</v>
      </c>
      <c r="AB137" s="101">
        <v>0</v>
      </c>
      <c r="AC137" s="101">
        <v>0</v>
      </c>
      <c r="AD137" s="101">
        <v>0</v>
      </c>
      <c r="AE137" s="101">
        <v>3403839.76</v>
      </c>
      <c r="AF137" s="101">
        <v>418763.93</v>
      </c>
      <c r="AG137" s="101">
        <v>37801.43</v>
      </c>
      <c r="AH137" s="101">
        <v>51728</v>
      </c>
      <c r="AI137" s="101">
        <v>3833119.6</v>
      </c>
      <c r="AJ137" s="101">
        <v>5125559.88</v>
      </c>
      <c r="AK137" s="101">
        <v>1008948.83</v>
      </c>
      <c r="AL137" s="101">
        <v>2534572.4500000002</v>
      </c>
      <c r="AM137" s="101">
        <v>626798.21</v>
      </c>
      <c r="AN137" s="101">
        <v>2590987.4300000011</v>
      </c>
      <c r="AO137" s="101">
        <v>948847.52</v>
      </c>
      <c r="AP137" s="101">
        <v>29483.27</v>
      </c>
      <c r="AQ137" s="101">
        <v>0</v>
      </c>
      <c r="AR137" s="101">
        <v>0</v>
      </c>
      <c r="AS137" s="101">
        <v>0</v>
      </c>
      <c r="AT137" s="101">
        <v>1612656.6399999999</v>
      </c>
      <c r="AU137" s="101">
        <v>224116.3</v>
      </c>
    </row>
    <row r="138" spans="1:47">
      <c r="A138" s="102" t="s">
        <v>456</v>
      </c>
      <c r="B138" s="102" t="s">
        <v>128</v>
      </c>
      <c r="C138" s="101">
        <v>8535</v>
      </c>
      <c r="D138" s="101">
        <v>17596</v>
      </c>
      <c r="E138" s="101">
        <v>484994.01853747998</v>
      </c>
      <c r="F138" s="101">
        <v>666583.65081328002</v>
      </c>
      <c r="G138" s="101">
        <v>161801.42449522001</v>
      </c>
      <c r="H138" s="101">
        <v>389149.63832293998</v>
      </c>
      <c r="I138" s="101">
        <v>146297.36727367999</v>
      </c>
      <c r="J138" s="101">
        <v>277434.01249033998</v>
      </c>
      <c r="K138" s="101">
        <v>230147.67959399999</v>
      </c>
      <c r="L138" s="101">
        <v>0</v>
      </c>
      <c r="M138" s="101">
        <v>0</v>
      </c>
      <c r="N138" s="101">
        <v>0</v>
      </c>
      <c r="O138" s="101">
        <v>0</v>
      </c>
      <c r="P138" s="101">
        <v>47286.332896339998</v>
      </c>
      <c r="Q138" s="101">
        <v>29329.677186239998</v>
      </c>
      <c r="R138" s="101">
        <v>15170</v>
      </c>
      <c r="S138" s="101">
        <v>30295</v>
      </c>
      <c r="T138" s="101">
        <v>856772.80212453997</v>
      </c>
      <c r="U138" s="101">
        <v>1178148.1652098401</v>
      </c>
      <c r="V138" s="101">
        <v>285107.21419688</v>
      </c>
      <c r="W138" s="101">
        <v>671925.20138540003</v>
      </c>
      <c r="X138" s="101">
        <v>251013.13144182001</v>
      </c>
      <c r="Y138" s="101">
        <v>506222.96382444003</v>
      </c>
      <c r="Z138" s="101">
        <v>394538.879304</v>
      </c>
      <c r="AA138" s="101">
        <v>0</v>
      </c>
      <c r="AB138" s="101">
        <v>0</v>
      </c>
      <c r="AC138" s="101">
        <v>0</v>
      </c>
      <c r="AD138" s="101">
        <v>0</v>
      </c>
      <c r="AE138" s="101">
        <v>111684.08452044</v>
      </c>
      <c r="AF138" s="101">
        <v>51838.51580134</v>
      </c>
      <c r="AG138" s="101">
        <v>10257</v>
      </c>
      <c r="AH138" s="101">
        <v>17596</v>
      </c>
      <c r="AI138" s="101">
        <v>530570.56411499996</v>
      </c>
      <c r="AJ138" s="101">
        <v>739029.70461000002</v>
      </c>
      <c r="AK138" s="101">
        <v>188700.61486999999</v>
      </c>
      <c r="AL138" s="101">
        <v>399167.56438</v>
      </c>
      <c r="AM138" s="101">
        <v>148377.20227499999</v>
      </c>
      <c r="AN138" s="101">
        <v>339862.14023000002</v>
      </c>
      <c r="AO138" s="101">
        <v>228009.11235499999</v>
      </c>
      <c r="AP138" s="101">
        <v>0</v>
      </c>
      <c r="AQ138" s="101">
        <v>0</v>
      </c>
      <c r="AR138" s="101">
        <v>0</v>
      </c>
      <c r="AS138" s="101">
        <v>0</v>
      </c>
      <c r="AT138" s="101">
        <v>111853.027875</v>
      </c>
      <c r="AU138" s="101">
        <v>32517.307379999998</v>
      </c>
    </row>
    <row r="139" spans="1:47">
      <c r="A139" s="102" t="s">
        <v>435</v>
      </c>
      <c r="B139" s="102" t="s">
        <v>113</v>
      </c>
      <c r="C139" s="101">
        <v>35437</v>
      </c>
      <c r="D139" s="101">
        <v>50880</v>
      </c>
      <c r="E139" s="101">
        <v>2579454.88</v>
      </c>
      <c r="F139" s="101">
        <v>3727927.48</v>
      </c>
      <c r="G139" s="101">
        <v>825836.24</v>
      </c>
      <c r="H139" s="101">
        <v>2069685.13</v>
      </c>
      <c r="I139" s="101">
        <v>562347.03</v>
      </c>
      <c r="J139" s="101">
        <v>1658242.35</v>
      </c>
      <c r="K139" s="101">
        <v>1234821.9099999999</v>
      </c>
      <c r="L139" s="101">
        <v>60830</v>
      </c>
      <c r="M139" s="101">
        <v>0</v>
      </c>
      <c r="N139" s="101">
        <v>0</v>
      </c>
      <c r="O139" s="101">
        <v>0</v>
      </c>
      <c r="P139" s="101">
        <v>362590.44</v>
      </c>
      <c r="Q139" s="101">
        <v>164028.81</v>
      </c>
      <c r="R139" s="101">
        <v>65324</v>
      </c>
      <c r="S139" s="101">
        <v>87600</v>
      </c>
      <c r="T139" s="101">
        <v>5077963.2400000012</v>
      </c>
      <c r="U139" s="101">
        <v>7292167.040000001</v>
      </c>
      <c r="V139" s="101">
        <v>1623161.75</v>
      </c>
      <c r="W139" s="101">
        <v>3716513.06</v>
      </c>
      <c r="X139" s="101">
        <v>971782.48</v>
      </c>
      <c r="Y139" s="101">
        <v>3575653.98</v>
      </c>
      <c r="Z139" s="101">
        <v>2116837.56</v>
      </c>
      <c r="AA139" s="101">
        <v>104280</v>
      </c>
      <c r="AB139" s="101">
        <v>0</v>
      </c>
      <c r="AC139" s="101">
        <v>0</v>
      </c>
      <c r="AD139" s="101">
        <v>0</v>
      </c>
      <c r="AE139" s="101">
        <v>1354536.42</v>
      </c>
      <c r="AF139" s="101">
        <v>320855.34999999998</v>
      </c>
      <c r="AG139" s="101">
        <v>37993.89</v>
      </c>
      <c r="AH139" s="101">
        <v>50880</v>
      </c>
      <c r="AI139" s="101">
        <v>2712403.95</v>
      </c>
      <c r="AJ139" s="101">
        <v>3745624.53</v>
      </c>
      <c r="AK139" s="101">
        <v>766436.53</v>
      </c>
      <c r="AL139" s="101">
        <v>2144264.31</v>
      </c>
      <c r="AM139" s="101">
        <v>535608.68999999994</v>
      </c>
      <c r="AN139" s="101">
        <v>1601360.22</v>
      </c>
      <c r="AO139" s="101">
        <v>1234102.6599999999</v>
      </c>
      <c r="AP139" s="101">
        <v>60830</v>
      </c>
      <c r="AQ139" s="101">
        <v>0</v>
      </c>
      <c r="AR139" s="101">
        <v>0</v>
      </c>
      <c r="AS139" s="101">
        <v>0</v>
      </c>
      <c r="AT139" s="101">
        <v>306427.56</v>
      </c>
      <c r="AU139" s="101">
        <v>163421.07</v>
      </c>
    </row>
    <row r="140" spans="1:47">
      <c r="A140" s="102" t="s">
        <v>1007</v>
      </c>
      <c r="B140" s="102" t="e">
        <v>#N/A</v>
      </c>
      <c r="C140" s="101">
        <v>280627.59000000003</v>
      </c>
      <c r="D140" s="101">
        <v>447108</v>
      </c>
      <c r="E140" s="101">
        <v>18506219.562053807</v>
      </c>
      <c r="F140" s="101">
        <v>27727736.327743899</v>
      </c>
      <c r="G140" s="101">
        <v>7372704.366658221</v>
      </c>
      <c r="H140" s="101">
        <v>16380223.385913173</v>
      </c>
      <c r="I140" s="101">
        <v>5271039.603815712</v>
      </c>
      <c r="J140" s="101">
        <v>11347512.94183073</v>
      </c>
      <c r="K140" s="101">
        <v>5992136.762736991</v>
      </c>
      <c r="L140" s="101">
        <v>248268.09</v>
      </c>
      <c r="M140" s="101">
        <v>0</v>
      </c>
      <c r="N140" s="101">
        <v>0</v>
      </c>
      <c r="O140" s="101">
        <v>0</v>
      </c>
      <c r="P140" s="101">
        <v>5107108.089093742</v>
      </c>
      <c r="Q140" s="101">
        <v>1228817.32687323</v>
      </c>
      <c r="R140" s="101">
        <v>496962.99</v>
      </c>
      <c r="S140" s="101">
        <v>769785</v>
      </c>
      <c r="T140" s="101">
        <v>33571682.771420866</v>
      </c>
      <c r="U140" s="101">
        <v>50112115.599618614</v>
      </c>
      <c r="V140" s="101">
        <v>13226413.83163701</v>
      </c>
      <c r="W140" s="101">
        <v>28395193.831889722</v>
      </c>
      <c r="X140" s="101">
        <v>9045566.0040853005</v>
      </c>
      <c r="Y140" s="101">
        <v>21716921.767728891</v>
      </c>
      <c r="Z140" s="101">
        <v>10391116.42183484</v>
      </c>
      <c r="AA140" s="101">
        <v>425602.44</v>
      </c>
      <c r="AB140" s="101">
        <v>0</v>
      </c>
      <c r="AC140" s="101">
        <v>0</v>
      </c>
      <c r="AD140" s="101">
        <v>0</v>
      </c>
      <c r="AE140" s="101">
        <v>10900202.905894052</v>
      </c>
      <c r="AF140" s="101">
        <v>2220206.9759210399</v>
      </c>
      <c r="AG140" s="101">
        <v>289208.32000000001</v>
      </c>
      <c r="AH140" s="101">
        <v>447108</v>
      </c>
      <c r="AI140" s="101">
        <v>19020235.216815002</v>
      </c>
      <c r="AJ140" s="101">
        <v>27735834.761410005</v>
      </c>
      <c r="AK140" s="101">
        <v>7081202.4782699989</v>
      </c>
      <c r="AL140" s="101">
        <v>16349039.647658998</v>
      </c>
      <c r="AM140" s="101">
        <v>4969608.505783001</v>
      </c>
      <c r="AN140" s="101">
        <v>11386795.113751004</v>
      </c>
      <c r="AO140" s="101">
        <v>6428278.208838</v>
      </c>
      <c r="AP140" s="101">
        <v>248861.22399999999</v>
      </c>
      <c r="AQ140" s="101">
        <v>0</v>
      </c>
      <c r="AR140" s="101">
        <v>0</v>
      </c>
      <c r="AS140" s="101">
        <v>0</v>
      </c>
      <c r="AT140" s="101">
        <v>4709655.6809130004</v>
      </c>
      <c r="AU140" s="101">
        <v>1220224.267179</v>
      </c>
    </row>
    <row r="141" spans="1:47">
      <c r="A141" s="102" t="s">
        <v>417</v>
      </c>
      <c r="B141" s="102" t="s">
        <v>418</v>
      </c>
      <c r="C141" s="101">
        <v>20639.03</v>
      </c>
      <c r="D141" s="101">
        <v>26924</v>
      </c>
      <c r="E141" s="101">
        <v>1707803.12</v>
      </c>
      <c r="F141" s="101">
        <v>2087540.43</v>
      </c>
      <c r="G141" s="101">
        <v>286110.21999999997</v>
      </c>
      <c r="H141" s="101">
        <v>947520.48</v>
      </c>
      <c r="I141" s="101">
        <v>295715.78000000003</v>
      </c>
      <c r="J141" s="101">
        <v>1140019.9500000009</v>
      </c>
      <c r="K141" s="101">
        <v>585211.62</v>
      </c>
      <c r="L141" s="101">
        <v>15187.55</v>
      </c>
      <c r="M141" s="101">
        <v>0</v>
      </c>
      <c r="N141" s="101">
        <v>0</v>
      </c>
      <c r="O141" s="101">
        <v>0</v>
      </c>
      <c r="P141" s="101">
        <v>539620.78</v>
      </c>
      <c r="Q141" s="101">
        <v>91851.78</v>
      </c>
      <c r="R141" s="101">
        <v>37025.040000000001</v>
      </c>
      <c r="S141" s="101">
        <v>46355</v>
      </c>
      <c r="T141" s="101">
        <v>3166883.38</v>
      </c>
      <c r="U141" s="101">
        <v>3823490.38</v>
      </c>
      <c r="V141" s="101">
        <v>489027.1</v>
      </c>
      <c r="W141" s="101">
        <v>1639987.67</v>
      </c>
      <c r="X141" s="101">
        <v>501119.07</v>
      </c>
      <c r="Y141" s="101">
        <v>2183502.71</v>
      </c>
      <c r="Z141" s="101">
        <v>1003169.92</v>
      </c>
      <c r="AA141" s="101">
        <v>26035.8</v>
      </c>
      <c r="AB141" s="101">
        <v>0</v>
      </c>
      <c r="AC141" s="101">
        <v>0</v>
      </c>
      <c r="AD141" s="101">
        <v>0</v>
      </c>
      <c r="AE141" s="101">
        <v>1154296.9899999991</v>
      </c>
      <c r="AF141" s="101">
        <v>168233.58</v>
      </c>
      <c r="AG141" s="101">
        <v>20582</v>
      </c>
      <c r="AH141" s="101">
        <v>26924</v>
      </c>
      <c r="AI141" s="101">
        <v>1691997.26</v>
      </c>
      <c r="AJ141" s="101">
        <v>2034530.64</v>
      </c>
      <c r="AK141" s="101">
        <v>255573.64</v>
      </c>
      <c r="AL141" s="101">
        <v>938225.66</v>
      </c>
      <c r="AM141" s="101">
        <v>280381.15000000002</v>
      </c>
      <c r="AN141" s="101">
        <v>1096304.98</v>
      </c>
      <c r="AO141" s="101">
        <v>579345.05000000005</v>
      </c>
      <c r="AP141" s="101">
        <v>14907.55</v>
      </c>
      <c r="AQ141" s="101">
        <v>0</v>
      </c>
      <c r="AR141" s="101">
        <v>0</v>
      </c>
      <c r="AS141" s="101">
        <v>0</v>
      </c>
      <c r="AT141" s="101">
        <v>502052.38</v>
      </c>
      <c r="AU141" s="101">
        <v>89025.62</v>
      </c>
    </row>
    <row r="142" spans="1:47">
      <c r="A142" s="102" t="s">
        <v>391</v>
      </c>
      <c r="B142" s="102" t="s">
        <v>81</v>
      </c>
      <c r="C142" s="101">
        <v>20890</v>
      </c>
      <c r="D142" s="101">
        <v>25228</v>
      </c>
      <c r="E142" s="101">
        <v>2005831.4</v>
      </c>
      <c r="F142" s="101">
        <v>2417259.34</v>
      </c>
      <c r="G142" s="101">
        <v>291482.42</v>
      </c>
      <c r="H142" s="101">
        <v>1011341.29</v>
      </c>
      <c r="I142" s="101">
        <v>284935.14</v>
      </c>
      <c r="J142" s="101">
        <v>1405918.05</v>
      </c>
      <c r="K142" s="101">
        <v>913478.09</v>
      </c>
      <c r="L142" s="101">
        <v>0</v>
      </c>
      <c r="M142" s="101">
        <v>0</v>
      </c>
      <c r="N142" s="101">
        <v>0</v>
      </c>
      <c r="O142" s="101">
        <v>0</v>
      </c>
      <c r="P142" s="101">
        <v>492439.96</v>
      </c>
      <c r="Q142" s="101">
        <v>106359.41</v>
      </c>
      <c r="R142" s="101">
        <v>36979</v>
      </c>
      <c r="S142" s="101">
        <v>43435</v>
      </c>
      <c r="T142" s="101">
        <v>3699771.3</v>
      </c>
      <c r="U142" s="101">
        <v>4436493.6100000003</v>
      </c>
      <c r="V142" s="101">
        <v>528752.42000000004</v>
      </c>
      <c r="W142" s="101">
        <v>1751243.36</v>
      </c>
      <c r="X142" s="101">
        <v>484153.35</v>
      </c>
      <c r="Y142" s="101">
        <v>2685250.25</v>
      </c>
      <c r="Z142" s="101">
        <v>1565962.44</v>
      </c>
      <c r="AA142" s="101">
        <v>0</v>
      </c>
      <c r="AB142" s="101">
        <v>0</v>
      </c>
      <c r="AC142" s="101">
        <v>0</v>
      </c>
      <c r="AD142" s="101">
        <v>0</v>
      </c>
      <c r="AE142" s="101">
        <v>1119287.81</v>
      </c>
      <c r="AF142" s="101">
        <v>195205.72</v>
      </c>
      <c r="AG142" s="101">
        <v>21010</v>
      </c>
      <c r="AH142" s="101">
        <v>25228</v>
      </c>
      <c r="AI142" s="101">
        <v>2027089.72</v>
      </c>
      <c r="AJ142" s="101">
        <v>2389636.91</v>
      </c>
      <c r="AK142" s="101">
        <v>252518.75</v>
      </c>
      <c r="AL142" s="101">
        <v>1004994.25</v>
      </c>
      <c r="AM142" s="101">
        <v>277161.55</v>
      </c>
      <c r="AN142" s="101">
        <v>1384642.66</v>
      </c>
      <c r="AO142" s="101">
        <v>911679.93</v>
      </c>
      <c r="AP142" s="101">
        <v>0</v>
      </c>
      <c r="AQ142" s="101">
        <v>0</v>
      </c>
      <c r="AR142" s="101">
        <v>0</v>
      </c>
      <c r="AS142" s="101">
        <v>0</v>
      </c>
      <c r="AT142" s="101">
        <v>472962.73</v>
      </c>
      <c r="AU142" s="101">
        <v>104610.43</v>
      </c>
    </row>
    <row r="143" spans="1:47">
      <c r="A143" s="102" t="s">
        <v>415</v>
      </c>
      <c r="B143" s="102" t="s">
        <v>97</v>
      </c>
      <c r="C143" s="101">
        <v>26635.14</v>
      </c>
      <c r="D143" s="101">
        <v>36464</v>
      </c>
      <c r="E143" s="101">
        <v>1928516.57</v>
      </c>
      <c r="F143" s="101">
        <v>2854954.47</v>
      </c>
      <c r="G143" s="101">
        <v>788956.47</v>
      </c>
      <c r="H143" s="101">
        <v>1595073.56</v>
      </c>
      <c r="I143" s="101">
        <v>569647</v>
      </c>
      <c r="J143" s="101">
        <v>1259880.9099999999</v>
      </c>
      <c r="K143" s="101">
        <v>806683.5</v>
      </c>
      <c r="L143" s="101">
        <v>22050</v>
      </c>
      <c r="M143" s="101">
        <v>0</v>
      </c>
      <c r="N143" s="101">
        <v>0</v>
      </c>
      <c r="O143" s="101">
        <v>0</v>
      </c>
      <c r="P143" s="101">
        <v>431147.41</v>
      </c>
      <c r="Q143" s="101">
        <v>125618</v>
      </c>
      <c r="R143" s="101">
        <v>48520.22</v>
      </c>
      <c r="S143" s="101">
        <v>62780</v>
      </c>
      <c r="T143" s="101">
        <v>3596774.37</v>
      </c>
      <c r="U143" s="101">
        <v>5239885.4900000012</v>
      </c>
      <c r="V143" s="101">
        <v>1401463.4</v>
      </c>
      <c r="W143" s="101">
        <v>2766374.5</v>
      </c>
      <c r="X143" s="101">
        <v>970327.32</v>
      </c>
      <c r="Y143" s="101">
        <v>2473510.9900000002</v>
      </c>
      <c r="Z143" s="101">
        <v>1382886</v>
      </c>
      <c r="AA143" s="101">
        <v>37800</v>
      </c>
      <c r="AB143" s="101">
        <v>0</v>
      </c>
      <c r="AC143" s="101">
        <v>0</v>
      </c>
      <c r="AD143" s="101">
        <v>0</v>
      </c>
      <c r="AE143" s="101">
        <v>1052824.99</v>
      </c>
      <c r="AF143" s="101">
        <v>230554.97</v>
      </c>
      <c r="AG143" s="101">
        <v>26854</v>
      </c>
      <c r="AH143" s="101">
        <v>36464</v>
      </c>
      <c r="AI143" s="101">
        <v>1821141.6</v>
      </c>
      <c r="AJ143" s="101">
        <v>2671977.89</v>
      </c>
      <c r="AK143" s="101">
        <v>708518.52</v>
      </c>
      <c r="AL143" s="101">
        <v>1539554.2</v>
      </c>
      <c r="AM143" s="101">
        <v>555863.73</v>
      </c>
      <c r="AN143" s="101">
        <v>1132423.69</v>
      </c>
      <c r="AO143" s="101">
        <v>805431.2</v>
      </c>
      <c r="AP143" s="101">
        <v>22047.94</v>
      </c>
      <c r="AQ143" s="101">
        <v>0</v>
      </c>
      <c r="AR143" s="101">
        <v>0</v>
      </c>
      <c r="AS143" s="101">
        <v>0</v>
      </c>
      <c r="AT143" s="101">
        <v>304944.55</v>
      </c>
      <c r="AU143" s="101">
        <v>116146</v>
      </c>
    </row>
    <row r="144" spans="1:47">
      <c r="A144" s="102" t="s">
        <v>416</v>
      </c>
      <c r="B144" s="102" t="s">
        <v>98</v>
      </c>
      <c r="C144" s="101">
        <v>39118</v>
      </c>
      <c r="D144" s="101">
        <v>49820</v>
      </c>
      <c r="E144" s="101">
        <v>2977525.56</v>
      </c>
      <c r="F144" s="101">
        <v>3988926.44</v>
      </c>
      <c r="G144" s="101">
        <v>907796.69</v>
      </c>
      <c r="H144" s="101">
        <v>1940314.28</v>
      </c>
      <c r="I144" s="101">
        <v>581038.30000000005</v>
      </c>
      <c r="J144" s="101">
        <v>2048612.1600000011</v>
      </c>
      <c r="K144" s="101">
        <v>1223859</v>
      </c>
      <c r="L144" s="101">
        <v>29050</v>
      </c>
      <c r="M144" s="101">
        <v>0</v>
      </c>
      <c r="N144" s="101">
        <v>0</v>
      </c>
      <c r="O144" s="101">
        <v>0</v>
      </c>
      <c r="P144" s="101">
        <v>795703.16000000096</v>
      </c>
      <c r="Q144" s="101">
        <v>175512.77</v>
      </c>
      <c r="R144" s="101">
        <v>68647</v>
      </c>
      <c r="S144" s="101">
        <v>85775</v>
      </c>
      <c r="T144" s="101">
        <v>5322786.6900000013</v>
      </c>
      <c r="U144" s="101">
        <v>7314445.2400000012</v>
      </c>
      <c r="V144" s="101">
        <v>1666612.98</v>
      </c>
      <c r="W144" s="101">
        <v>3406586.49</v>
      </c>
      <c r="X144" s="101">
        <v>970935.06</v>
      </c>
      <c r="Y144" s="101">
        <v>3907858.7499999981</v>
      </c>
      <c r="Z144" s="101">
        <v>2098044</v>
      </c>
      <c r="AA144" s="101">
        <v>49800</v>
      </c>
      <c r="AB144" s="101">
        <v>0</v>
      </c>
      <c r="AC144" s="101">
        <v>0</v>
      </c>
      <c r="AD144" s="101">
        <v>0</v>
      </c>
      <c r="AE144" s="101">
        <v>1760014.7499999979</v>
      </c>
      <c r="AF144" s="101">
        <v>321835.59999999998</v>
      </c>
      <c r="AG144" s="101">
        <v>39277</v>
      </c>
      <c r="AH144" s="101">
        <v>49820</v>
      </c>
      <c r="AI144" s="101">
        <v>3003310.14</v>
      </c>
      <c r="AJ144" s="101">
        <v>3991981.1100000008</v>
      </c>
      <c r="AK144" s="101">
        <v>838704.89</v>
      </c>
      <c r="AL144" s="101">
        <v>1857724.91</v>
      </c>
      <c r="AM144" s="101">
        <v>561707.19999999995</v>
      </c>
      <c r="AN144" s="101">
        <v>2134256.2000000002</v>
      </c>
      <c r="AO144" s="101">
        <v>1226493.6399999999</v>
      </c>
      <c r="AP144" s="101">
        <v>17314.16</v>
      </c>
      <c r="AQ144" s="101">
        <v>0</v>
      </c>
      <c r="AR144" s="101">
        <v>0</v>
      </c>
      <c r="AS144" s="101">
        <v>0</v>
      </c>
      <c r="AT144" s="101">
        <v>890448.4</v>
      </c>
      <c r="AU144" s="101">
        <v>173999.04</v>
      </c>
    </row>
    <row r="145" spans="1:47">
      <c r="A145" s="102" t="s">
        <v>1008</v>
      </c>
      <c r="B145" s="102" t="e">
        <v>#N/A</v>
      </c>
      <c r="C145" s="101">
        <v>107282.17</v>
      </c>
      <c r="D145" s="101">
        <v>138436</v>
      </c>
      <c r="E145" s="101">
        <v>8619676.6500000004</v>
      </c>
      <c r="F145" s="101">
        <v>11348680.68</v>
      </c>
      <c r="G145" s="101">
        <v>2274345.8000000012</v>
      </c>
      <c r="H145" s="101">
        <v>5494249.6100000022</v>
      </c>
      <c r="I145" s="101">
        <v>1731336.22</v>
      </c>
      <c r="J145" s="101">
        <v>5854431.0700000012</v>
      </c>
      <c r="K145" s="101">
        <v>3529232.21</v>
      </c>
      <c r="L145" s="101">
        <v>66287.55</v>
      </c>
      <c r="M145" s="101">
        <v>0</v>
      </c>
      <c r="N145" s="101">
        <v>0</v>
      </c>
      <c r="O145" s="101">
        <v>0</v>
      </c>
      <c r="P145" s="101">
        <v>2258911.310000001</v>
      </c>
      <c r="Q145" s="101">
        <v>499341.96</v>
      </c>
      <c r="R145" s="101">
        <v>191171.26</v>
      </c>
      <c r="S145" s="101">
        <v>238345</v>
      </c>
      <c r="T145" s="101">
        <v>15786215.74</v>
      </c>
      <c r="U145" s="101">
        <v>20814314.719999999</v>
      </c>
      <c r="V145" s="101">
        <v>4085855.9</v>
      </c>
      <c r="W145" s="101">
        <v>9564192.0199999977</v>
      </c>
      <c r="X145" s="101">
        <v>2926534.8</v>
      </c>
      <c r="Y145" s="101">
        <v>11250122.700000001</v>
      </c>
      <c r="Z145" s="101">
        <v>6050062.3600000013</v>
      </c>
      <c r="AA145" s="101">
        <v>113635.8</v>
      </c>
      <c r="AB145" s="101">
        <v>0</v>
      </c>
      <c r="AC145" s="101">
        <v>0</v>
      </c>
      <c r="AD145" s="101">
        <v>0</v>
      </c>
      <c r="AE145" s="101">
        <v>5086424.540000001</v>
      </c>
      <c r="AF145" s="101">
        <v>915829.87</v>
      </c>
      <c r="AG145" s="101">
        <v>107723</v>
      </c>
      <c r="AH145" s="101">
        <v>138436</v>
      </c>
      <c r="AI145" s="101">
        <v>8543538.7200000007</v>
      </c>
      <c r="AJ145" s="101">
        <v>11088126.550000003</v>
      </c>
      <c r="AK145" s="101">
        <v>2055315.8</v>
      </c>
      <c r="AL145" s="101">
        <v>5340499.0200000014</v>
      </c>
      <c r="AM145" s="101">
        <v>1675113.63</v>
      </c>
      <c r="AN145" s="101">
        <v>5747627.5299999965</v>
      </c>
      <c r="AO145" s="101">
        <v>3522949.82</v>
      </c>
      <c r="AP145" s="101">
        <v>54269.65</v>
      </c>
      <c r="AQ145" s="101">
        <v>0</v>
      </c>
      <c r="AR145" s="101">
        <v>0</v>
      </c>
      <c r="AS145" s="101">
        <v>0</v>
      </c>
      <c r="AT145" s="101">
        <v>2170408.0599999991</v>
      </c>
      <c r="AU145" s="101">
        <v>483781.09</v>
      </c>
    </row>
    <row r="146" spans="1:47">
      <c r="A146" s="102" t="s">
        <v>1009</v>
      </c>
      <c r="B146" s="102" t="e">
        <v>#N/A</v>
      </c>
      <c r="C146" s="101">
        <v>387909.76</v>
      </c>
      <c r="D146" s="101">
        <v>585544</v>
      </c>
      <c r="E146" s="101">
        <v>27125896.212053809</v>
      </c>
      <c r="F146" s="101">
        <v>39076417.007743903</v>
      </c>
      <c r="G146" s="101">
        <v>9647050.1666582227</v>
      </c>
      <c r="H146" s="101">
        <v>21874472.99591317</v>
      </c>
      <c r="I146" s="101">
        <v>7002375.8238157108</v>
      </c>
      <c r="J146" s="101">
        <v>17201944.011830732</v>
      </c>
      <c r="K146" s="101">
        <v>9521368.9727369901</v>
      </c>
      <c r="L146" s="101">
        <v>314555.64</v>
      </c>
      <c r="M146" s="101">
        <v>0</v>
      </c>
      <c r="N146" s="101">
        <v>0</v>
      </c>
      <c r="O146" s="101">
        <v>0</v>
      </c>
      <c r="P146" s="101">
        <v>7366019.3990937416</v>
      </c>
      <c r="Q146" s="101">
        <v>1728159.28687323</v>
      </c>
      <c r="R146" s="101">
        <v>688134.25</v>
      </c>
      <c r="S146" s="101">
        <v>1008130</v>
      </c>
      <c r="T146" s="101">
        <v>49357898.511420868</v>
      </c>
      <c r="U146" s="101">
        <v>70926430.319618627</v>
      </c>
      <c r="V146" s="101">
        <v>17312269.731637008</v>
      </c>
      <c r="W146" s="101">
        <v>37959385.851889729</v>
      </c>
      <c r="X146" s="101">
        <v>11972100.804085299</v>
      </c>
      <c r="Y146" s="101">
        <v>32967044.467728894</v>
      </c>
      <c r="Z146" s="101">
        <v>16441178.781834843</v>
      </c>
      <c r="AA146" s="101">
        <v>539238.24</v>
      </c>
      <c r="AB146" s="101">
        <v>0</v>
      </c>
      <c r="AC146" s="101">
        <v>0</v>
      </c>
      <c r="AD146" s="101">
        <v>0</v>
      </c>
      <c r="AE146" s="101">
        <v>15986627.445894049</v>
      </c>
      <c r="AF146" s="101">
        <v>3136036.84592104</v>
      </c>
      <c r="AG146" s="101">
        <v>396931.32</v>
      </c>
      <c r="AH146" s="101">
        <v>585544</v>
      </c>
      <c r="AI146" s="101">
        <v>27563773.936815001</v>
      </c>
      <c r="AJ146" s="101">
        <v>38823961.31141001</v>
      </c>
      <c r="AK146" s="101">
        <v>9136518.2782700006</v>
      </c>
      <c r="AL146" s="101">
        <v>21689538.667659</v>
      </c>
      <c r="AM146" s="101">
        <v>6644722.1357829999</v>
      </c>
      <c r="AN146" s="101">
        <v>17134422.643750995</v>
      </c>
      <c r="AO146" s="101">
        <v>9951228.0288380012</v>
      </c>
      <c r="AP146" s="101">
        <v>303130.87400000001</v>
      </c>
      <c r="AQ146" s="101">
        <v>0</v>
      </c>
      <c r="AR146" s="101">
        <v>0</v>
      </c>
      <c r="AS146" s="101">
        <v>0</v>
      </c>
      <c r="AT146" s="101">
        <v>6880063.740912999</v>
      </c>
      <c r="AU146" s="101">
        <v>1704005.357179</v>
      </c>
    </row>
    <row r="147" spans="1:47">
      <c r="A147" s="102" t="s">
        <v>1010</v>
      </c>
      <c r="B147" s="102" t="e">
        <v>#N/A</v>
      </c>
      <c r="C147" s="101">
        <v>1841820.16</v>
      </c>
      <c r="D147" s="101">
        <v>2625832</v>
      </c>
      <c r="E147" s="101">
        <v>138674089.6414288</v>
      </c>
      <c r="F147" s="101">
        <v>201345418.54930639</v>
      </c>
      <c r="G147" s="101">
        <v>49577108.513533227</v>
      </c>
      <c r="H147" s="101">
        <v>113685126.46122567</v>
      </c>
      <c r="I147" s="101">
        <v>38208272.641315706</v>
      </c>
      <c r="J147" s="101">
        <v>87660292.088080734</v>
      </c>
      <c r="K147" s="101">
        <v>59568607.650236987</v>
      </c>
      <c r="L147" s="101">
        <v>1271546.0900000001</v>
      </c>
      <c r="M147" s="101">
        <v>0</v>
      </c>
      <c r="N147" s="101">
        <v>0</v>
      </c>
      <c r="O147" s="101">
        <v>0</v>
      </c>
      <c r="P147" s="101">
        <v>26820138.347843733</v>
      </c>
      <c r="Q147" s="101">
        <v>8769301.17437323</v>
      </c>
      <c r="R147" s="101">
        <v>3260000.17</v>
      </c>
      <c r="S147" s="101">
        <v>4520890</v>
      </c>
      <c r="T147" s="101">
        <v>252798116.73798341</v>
      </c>
      <c r="U147" s="101">
        <v>366161947.36086869</v>
      </c>
      <c r="V147" s="101">
        <v>89215721.241324514</v>
      </c>
      <c r="W147" s="101">
        <v>197791751.49595225</v>
      </c>
      <c r="X147" s="101">
        <v>65475837.188147806</v>
      </c>
      <c r="Y147" s="101">
        <v>168370195.86491635</v>
      </c>
      <c r="Z147" s="101">
        <v>102764949.52683485</v>
      </c>
      <c r="AA147" s="101">
        <v>2179885.29</v>
      </c>
      <c r="AB147" s="101">
        <v>0</v>
      </c>
      <c r="AC147" s="101">
        <v>0</v>
      </c>
      <c r="AD147" s="101">
        <v>0</v>
      </c>
      <c r="AE147" s="101">
        <v>63425361.04808154</v>
      </c>
      <c r="AF147" s="101">
        <v>15965561.944046043</v>
      </c>
      <c r="AG147" s="101">
        <v>1865650.31</v>
      </c>
      <c r="AH147" s="101">
        <v>2625832</v>
      </c>
      <c r="AI147" s="101">
        <v>138970473.57508498</v>
      </c>
      <c r="AJ147" s="101">
        <v>198069116.42677</v>
      </c>
      <c r="AK147" s="101">
        <v>46540551.193835005</v>
      </c>
      <c r="AL147" s="101">
        <v>113829010.14261401</v>
      </c>
      <c r="AM147" s="101">
        <v>37054125.329572998</v>
      </c>
      <c r="AN147" s="101">
        <v>84240106.28415598</v>
      </c>
      <c r="AO147" s="101">
        <v>59760365.766682997</v>
      </c>
      <c r="AP147" s="101">
        <v>1294350.58085</v>
      </c>
      <c r="AQ147" s="101">
        <v>0</v>
      </c>
      <c r="AR147" s="101">
        <v>0</v>
      </c>
      <c r="AS147" s="101">
        <v>0</v>
      </c>
      <c r="AT147" s="101">
        <v>23185389.936623007</v>
      </c>
      <c r="AU147" s="101">
        <v>8543149.8948289994</v>
      </c>
    </row>
    <row r="148" spans="1:47">
      <c r="A148" s="102" t="s">
        <v>561</v>
      </c>
      <c r="B148" s="102" t="s">
        <v>562</v>
      </c>
      <c r="C148" s="101">
        <v>41280</v>
      </c>
      <c r="D148" s="101">
        <v>51304</v>
      </c>
      <c r="E148" s="101">
        <v>5583282.093165</v>
      </c>
      <c r="F148" s="101">
        <v>5975375.612404801</v>
      </c>
      <c r="G148" s="101">
        <v>228407.52195764999</v>
      </c>
      <c r="H148" s="101">
        <v>4594509.8861878989</v>
      </c>
      <c r="I148" s="101">
        <v>3066599.4596030498</v>
      </c>
      <c r="J148" s="101">
        <v>1380865.7262169011</v>
      </c>
      <c r="K148" s="101">
        <v>0</v>
      </c>
      <c r="L148" s="101">
        <v>640471.82499999995</v>
      </c>
      <c r="M148" s="101">
        <v>0</v>
      </c>
      <c r="N148" s="101">
        <v>0</v>
      </c>
      <c r="O148" s="101">
        <v>0</v>
      </c>
      <c r="P148" s="101">
        <v>740393.90121690102</v>
      </c>
      <c r="Q148" s="101">
        <v>154042.21262010001</v>
      </c>
      <c r="R148" s="101">
        <v>73493</v>
      </c>
      <c r="S148" s="101">
        <v>88330</v>
      </c>
      <c r="T148" s="101">
        <v>11379602.404135</v>
      </c>
      <c r="U148" s="101">
        <v>12127327.216587802</v>
      </c>
      <c r="V148" s="101">
        <v>430404.5163054</v>
      </c>
      <c r="W148" s="101">
        <v>7989789.2545488495</v>
      </c>
      <c r="X148" s="101">
        <v>5329979.6985603021</v>
      </c>
      <c r="Y148" s="101">
        <v>4137537.962038951</v>
      </c>
      <c r="Z148" s="101">
        <v>0</v>
      </c>
      <c r="AA148" s="101">
        <v>1131631.2</v>
      </c>
      <c r="AB148" s="101">
        <v>0</v>
      </c>
      <c r="AC148" s="101">
        <v>0</v>
      </c>
      <c r="AD148" s="101">
        <v>0</v>
      </c>
      <c r="AE148" s="101">
        <v>3005906.7620389508</v>
      </c>
      <c r="AF148" s="101">
        <v>345975.77573579998</v>
      </c>
      <c r="AG148" s="101">
        <v>41175</v>
      </c>
      <c r="AH148" s="101">
        <v>51304</v>
      </c>
      <c r="AI148" s="101">
        <v>4918889.9208960012</v>
      </c>
      <c r="AJ148" s="101">
        <v>5272257.7666079998</v>
      </c>
      <c r="AK148" s="101">
        <v>228898.31126399999</v>
      </c>
      <c r="AL148" s="101">
        <v>4305116.7762120012</v>
      </c>
      <c r="AM148" s="101">
        <v>2858691.3851160002</v>
      </c>
      <c r="AN148" s="101">
        <v>967140.99039599998</v>
      </c>
      <c r="AO148" s="101">
        <v>0</v>
      </c>
      <c r="AP148" s="101">
        <v>577131.56348400004</v>
      </c>
      <c r="AQ148" s="101">
        <v>0</v>
      </c>
      <c r="AR148" s="101">
        <v>0</v>
      </c>
      <c r="AS148" s="101">
        <v>0</v>
      </c>
      <c r="AT148" s="101">
        <v>390009.426912</v>
      </c>
      <c r="AU148" s="101">
        <v>131689.73613599999</v>
      </c>
    </row>
    <row r="149" spans="1:47">
      <c r="A149" s="102" t="s">
        <v>1011</v>
      </c>
      <c r="B149" s="102" t="e">
        <v>#N/A</v>
      </c>
      <c r="C149" s="101">
        <v>41280</v>
      </c>
      <c r="D149" s="101">
        <v>51304</v>
      </c>
      <c r="E149" s="101">
        <v>5583282.093165</v>
      </c>
      <c r="F149" s="101">
        <v>5975375.612404801</v>
      </c>
      <c r="G149" s="101">
        <v>228407.52195764999</v>
      </c>
      <c r="H149" s="101">
        <v>4594509.8861878989</v>
      </c>
      <c r="I149" s="101">
        <v>3066599.4596030498</v>
      </c>
      <c r="J149" s="101">
        <v>1380865.7262169011</v>
      </c>
      <c r="K149" s="101">
        <v>0</v>
      </c>
      <c r="L149" s="101">
        <v>640471.82499999995</v>
      </c>
      <c r="M149" s="101">
        <v>0</v>
      </c>
      <c r="N149" s="101">
        <v>0</v>
      </c>
      <c r="O149" s="101">
        <v>0</v>
      </c>
      <c r="P149" s="101">
        <v>740393.90121690102</v>
      </c>
      <c r="Q149" s="101">
        <v>154042.21262010001</v>
      </c>
      <c r="R149" s="101">
        <v>73493</v>
      </c>
      <c r="S149" s="101">
        <v>88330</v>
      </c>
      <c r="T149" s="101">
        <v>11379602.404135</v>
      </c>
      <c r="U149" s="101">
        <v>12127327.216587802</v>
      </c>
      <c r="V149" s="101">
        <v>430404.5163054</v>
      </c>
      <c r="W149" s="101">
        <v>7989789.2545488495</v>
      </c>
      <c r="X149" s="101">
        <v>5329979.6985603021</v>
      </c>
      <c r="Y149" s="101">
        <v>4137537.962038951</v>
      </c>
      <c r="Z149" s="101">
        <v>0</v>
      </c>
      <c r="AA149" s="101">
        <v>1131631.2</v>
      </c>
      <c r="AB149" s="101">
        <v>0</v>
      </c>
      <c r="AC149" s="101">
        <v>0</v>
      </c>
      <c r="AD149" s="101">
        <v>0</v>
      </c>
      <c r="AE149" s="101">
        <v>3005906.7620389508</v>
      </c>
      <c r="AF149" s="101">
        <v>345975.77573579998</v>
      </c>
      <c r="AG149" s="101">
        <v>41175</v>
      </c>
      <c r="AH149" s="101">
        <v>51304</v>
      </c>
      <c r="AI149" s="101">
        <v>4918889.9208960012</v>
      </c>
      <c r="AJ149" s="101">
        <v>5272257.7666079998</v>
      </c>
      <c r="AK149" s="101">
        <v>228898.31126399999</v>
      </c>
      <c r="AL149" s="101">
        <v>4305116.7762120012</v>
      </c>
      <c r="AM149" s="101">
        <v>2858691.3851160002</v>
      </c>
      <c r="AN149" s="101">
        <v>967140.99039599998</v>
      </c>
      <c r="AO149" s="101">
        <v>0</v>
      </c>
      <c r="AP149" s="101">
        <v>577131.56348400004</v>
      </c>
      <c r="AQ149" s="101">
        <v>0</v>
      </c>
      <c r="AR149" s="101">
        <v>0</v>
      </c>
      <c r="AS149" s="101">
        <v>0</v>
      </c>
      <c r="AT149" s="101">
        <v>390009.426912</v>
      </c>
      <c r="AU149" s="101">
        <v>131689.73613599999</v>
      </c>
    </row>
    <row r="150" spans="1:47">
      <c r="A150" s="102" t="s">
        <v>1012</v>
      </c>
      <c r="B150" s="102" t="e">
        <v>#N/A</v>
      </c>
      <c r="C150" s="101">
        <v>1883100.1599999999</v>
      </c>
      <c r="D150" s="101">
        <v>2677136</v>
      </c>
      <c r="E150" s="101">
        <v>144257371.73459384</v>
      </c>
      <c r="F150" s="101">
        <v>207320794.16171119</v>
      </c>
      <c r="G150" s="101">
        <v>49805516.03549087</v>
      </c>
      <c r="H150" s="101">
        <v>118279636.34741355</v>
      </c>
      <c r="I150" s="101">
        <v>41274872.100918755</v>
      </c>
      <c r="J150" s="101">
        <v>89041157.814297616</v>
      </c>
      <c r="K150" s="101">
        <v>59568607.650236987</v>
      </c>
      <c r="L150" s="101">
        <v>1912017.915</v>
      </c>
      <c r="M150" s="101">
        <v>0</v>
      </c>
      <c r="N150" s="101">
        <v>0</v>
      </c>
      <c r="O150" s="101">
        <v>0</v>
      </c>
      <c r="P150" s="101">
        <v>27560532.249060627</v>
      </c>
      <c r="Q150" s="101">
        <v>8923343.38699333</v>
      </c>
      <c r="R150" s="101">
        <v>3333493.17</v>
      </c>
      <c r="S150" s="101">
        <v>4609220</v>
      </c>
      <c r="T150" s="101">
        <v>264177719.14211842</v>
      </c>
      <c r="U150" s="101">
        <v>378289274.57745647</v>
      </c>
      <c r="V150" s="101">
        <v>89646125.757629901</v>
      </c>
      <c r="W150" s="101">
        <v>205781540.7505011</v>
      </c>
      <c r="X150" s="101">
        <v>70805816.886708111</v>
      </c>
      <c r="Y150" s="101">
        <v>172507733.82695535</v>
      </c>
      <c r="Z150" s="101">
        <v>102764949.52683485</v>
      </c>
      <c r="AA150" s="101">
        <v>3311516.49</v>
      </c>
      <c r="AB150" s="101">
        <v>0</v>
      </c>
      <c r="AC150" s="101">
        <v>0</v>
      </c>
      <c r="AD150" s="101">
        <v>0</v>
      </c>
      <c r="AE150" s="101">
        <v>66431267.810120538</v>
      </c>
      <c r="AF150" s="101">
        <v>16311537.71978184</v>
      </c>
      <c r="AG150" s="101">
        <v>1906825.31</v>
      </c>
      <c r="AH150" s="101">
        <v>2677136</v>
      </c>
      <c r="AI150" s="101">
        <v>143889363.49598101</v>
      </c>
      <c r="AJ150" s="101">
        <v>203341374.193378</v>
      </c>
      <c r="AK150" s="101">
        <v>46769449.505098999</v>
      </c>
      <c r="AL150" s="101">
        <v>118134126.918826</v>
      </c>
      <c r="AM150" s="101">
        <v>39912816.714689001</v>
      </c>
      <c r="AN150" s="101">
        <v>85207247.274551973</v>
      </c>
      <c r="AO150" s="101">
        <v>59760365.766682997</v>
      </c>
      <c r="AP150" s="101">
        <v>1871482.1443340001</v>
      </c>
      <c r="AQ150" s="101">
        <v>0</v>
      </c>
      <c r="AR150" s="101">
        <v>0</v>
      </c>
      <c r="AS150" s="101">
        <v>0</v>
      </c>
      <c r="AT150" s="101">
        <v>23575399.363535006</v>
      </c>
      <c r="AU150" s="101">
        <v>8674839.6309650019</v>
      </c>
    </row>
    <row r="151" spans="1:47">
      <c r="A151" s="102" t="s">
        <v>1013</v>
      </c>
      <c r="B151" s="102" t="e">
        <v>#N/A</v>
      </c>
      <c r="C151" s="101">
        <v>0</v>
      </c>
      <c r="D151" s="101">
        <v>0</v>
      </c>
      <c r="E151" s="101">
        <v>0</v>
      </c>
      <c r="F151" s="101">
        <v>744266.99257685698</v>
      </c>
      <c r="G151" s="101">
        <v>0</v>
      </c>
      <c r="H151" s="101">
        <v>12907029.554512</v>
      </c>
      <c r="I151" s="101">
        <v>7461706.6875</v>
      </c>
      <c r="J151" s="101">
        <v>-12162762.561935142</v>
      </c>
      <c r="K151" s="101">
        <v>-1213581.48</v>
      </c>
      <c r="L151" s="101">
        <v>4081</v>
      </c>
      <c r="M151" s="101">
        <v>0</v>
      </c>
      <c r="N151" s="101">
        <v>-938623</v>
      </c>
      <c r="O151" s="101">
        <v>0</v>
      </c>
      <c r="P151" s="101">
        <v>-10953262.081935141</v>
      </c>
      <c r="Q151" s="101">
        <v>-4348486</v>
      </c>
      <c r="R151" s="101">
        <v>0</v>
      </c>
      <c r="S151" s="101">
        <v>0</v>
      </c>
      <c r="T151" s="101">
        <v>0</v>
      </c>
      <c r="U151" s="101">
        <v>1311101.476301092</v>
      </c>
      <c r="V151" s="101">
        <v>0</v>
      </c>
      <c r="W151" s="101">
        <v>21539933.911736</v>
      </c>
      <c r="X151" s="101">
        <v>12879728.5</v>
      </c>
      <c r="Y151" s="101">
        <v>-20228832.435434908</v>
      </c>
      <c r="Z151" s="101">
        <v>-3921218.68</v>
      </c>
      <c r="AA151" s="101">
        <v>6996</v>
      </c>
      <c r="AB151" s="101">
        <v>0</v>
      </c>
      <c r="AC151" s="101">
        <v>-1609068</v>
      </c>
      <c r="AD151" s="101">
        <v>0</v>
      </c>
      <c r="AE151" s="101">
        <v>-16314609.755434908</v>
      </c>
      <c r="AF151" s="101">
        <v>-7613062</v>
      </c>
      <c r="AG151" s="101">
        <v>0</v>
      </c>
      <c r="AH151" s="101">
        <v>0</v>
      </c>
      <c r="AI151" s="101">
        <v>-184.84</v>
      </c>
      <c r="AJ151" s="101">
        <v>1366234.216267</v>
      </c>
      <c r="AK151" s="101">
        <v>166.2</v>
      </c>
      <c r="AL151" s="101">
        <v>12338088.773345003</v>
      </c>
      <c r="AM151" s="101">
        <v>7570478.3972699987</v>
      </c>
      <c r="AN151" s="101">
        <v>-10971854.557078</v>
      </c>
      <c r="AO151" s="101">
        <v>-941911.84109999996</v>
      </c>
      <c r="AP151" s="101">
        <v>8561</v>
      </c>
      <c r="AQ151" s="101">
        <v>0</v>
      </c>
      <c r="AR151" s="101">
        <v>-642111</v>
      </c>
      <c r="AS151" s="101">
        <v>0</v>
      </c>
      <c r="AT151" s="101">
        <v>-10038503.715978002</v>
      </c>
      <c r="AU151" s="101">
        <v>-3786304.65</v>
      </c>
    </row>
    <row r="152" spans="1:47">
      <c r="A152" s="102" t="s">
        <v>1014</v>
      </c>
      <c r="B152" s="102" t="e">
        <v>#N/A</v>
      </c>
      <c r="C152" s="101">
        <v>1883100.1599999999</v>
      </c>
      <c r="D152" s="101">
        <v>2677136</v>
      </c>
      <c r="E152" s="101">
        <v>144257371.73459384</v>
      </c>
      <c r="F152" s="101">
        <v>208065061.15428805</v>
      </c>
      <c r="G152" s="101">
        <v>49805516.03549087</v>
      </c>
      <c r="H152" s="101">
        <v>131186665.90192556</v>
      </c>
      <c r="I152" s="101">
        <v>48736578.788418755</v>
      </c>
      <c r="J152" s="101">
        <v>76878395.252362505</v>
      </c>
      <c r="K152" s="101">
        <v>58355026.17023699</v>
      </c>
      <c r="L152" s="101">
        <v>1916098.915</v>
      </c>
      <c r="M152" s="101">
        <v>0</v>
      </c>
      <c r="N152" s="101">
        <v>-938623</v>
      </c>
      <c r="O152" s="101">
        <v>0</v>
      </c>
      <c r="P152" s="101">
        <v>16607270.167125504</v>
      </c>
      <c r="Q152" s="101">
        <v>4574857.38699333</v>
      </c>
      <c r="R152" s="101">
        <v>3333493.17</v>
      </c>
      <c r="S152" s="101">
        <v>4609220</v>
      </c>
      <c r="T152" s="101">
        <v>264177719.14211842</v>
      </c>
      <c r="U152" s="101">
        <v>379600376.05375755</v>
      </c>
      <c r="V152" s="101">
        <v>89646125.757629901</v>
      </c>
      <c r="W152" s="101">
        <v>227321474.66223708</v>
      </c>
      <c r="X152" s="101">
        <v>83685545.386708111</v>
      </c>
      <c r="Y152" s="101">
        <v>152278901.39152047</v>
      </c>
      <c r="Z152" s="101">
        <v>98843730.846834838</v>
      </c>
      <c r="AA152" s="101">
        <v>3318512.49</v>
      </c>
      <c r="AB152" s="101">
        <v>0</v>
      </c>
      <c r="AC152" s="101">
        <v>-1609068</v>
      </c>
      <c r="AD152" s="101">
        <v>0</v>
      </c>
      <c r="AE152" s="101">
        <v>50116658.05468566</v>
      </c>
      <c r="AF152" s="101">
        <v>8698475.7197818402</v>
      </c>
      <c r="AG152" s="101">
        <v>1906825.31</v>
      </c>
      <c r="AH152" s="101">
        <v>2677136</v>
      </c>
      <c r="AI152" s="101">
        <v>143889178.655981</v>
      </c>
      <c r="AJ152" s="101">
        <v>204707608.40964502</v>
      </c>
      <c r="AK152" s="101">
        <v>46769615.705099002</v>
      </c>
      <c r="AL152" s="101">
        <v>130472215.69217098</v>
      </c>
      <c r="AM152" s="101">
        <v>47483295.111959018</v>
      </c>
      <c r="AN152" s="101">
        <v>74235392.717473984</v>
      </c>
      <c r="AO152" s="101">
        <v>58818453.925582998</v>
      </c>
      <c r="AP152" s="101">
        <v>1880043.1443340001</v>
      </c>
      <c r="AQ152" s="101">
        <v>0</v>
      </c>
      <c r="AR152" s="101">
        <v>-642111</v>
      </c>
      <c r="AS152" s="101">
        <v>0</v>
      </c>
      <c r="AT152" s="101">
        <v>13536895.647557007</v>
      </c>
      <c r="AU152" s="101">
        <v>4888534.9809649996</v>
      </c>
    </row>
    <row r="153" spans="1:47">
      <c r="A153" s="102" t="s">
        <v>1015</v>
      </c>
      <c r="B153" s="102" t="e">
        <v>#N/A</v>
      </c>
      <c r="C153" s="101">
        <v>0</v>
      </c>
      <c r="D153" s="101">
        <v>0</v>
      </c>
      <c r="E153" s="101">
        <v>0</v>
      </c>
      <c r="F153" s="101">
        <v>0</v>
      </c>
      <c r="G153" s="101">
        <v>0</v>
      </c>
      <c r="H153" s="101">
        <v>0</v>
      </c>
      <c r="I153" s="101">
        <v>0</v>
      </c>
      <c r="J153" s="101">
        <v>0</v>
      </c>
      <c r="K153" s="101">
        <v>0</v>
      </c>
      <c r="L153" s="101">
        <v>0</v>
      </c>
      <c r="M153" s="101">
        <v>0</v>
      </c>
      <c r="N153" s="101">
        <v>0</v>
      </c>
      <c r="O153" s="101">
        <v>0</v>
      </c>
      <c r="P153" s="101">
        <v>0</v>
      </c>
      <c r="Q153" s="101">
        <v>0</v>
      </c>
      <c r="R153" s="101">
        <v>0</v>
      </c>
      <c r="S153" s="101">
        <v>0</v>
      </c>
      <c r="T153" s="101">
        <v>0</v>
      </c>
      <c r="U153" s="101">
        <v>0</v>
      </c>
      <c r="V153" s="101">
        <v>0</v>
      </c>
      <c r="W153" s="101">
        <v>0</v>
      </c>
      <c r="X153" s="101">
        <v>0</v>
      </c>
      <c r="Y153" s="101">
        <v>0</v>
      </c>
      <c r="Z153" s="101">
        <v>0</v>
      </c>
      <c r="AA153" s="101">
        <v>0</v>
      </c>
      <c r="AB153" s="101">
        <v>0</v>
      </c>
      <c r="AC153" s="101">
        <v>0</v>
      </c>
      <c r="AD153" s="101">
        <v>0</v>
      </c>
      <c r="AE153" s="101">
        <v>0</v>
      </c>
      <c r="AF153" s="101">
        <v>0</v>
      </c>
      <c r="AG153" s="101">
        <v>0</v>
      </c>
      <c r="AH153" s="101">
        <v>0</v>
      </c>
      <c r="AI153" s="101">
        <v>0</v>
      </c>
      <c r="AJ153" s="101">
        <v>0</v>
      </c>
      <c r="AK153" s="101">
        <v>0</v>
      </c>
      <c r="AL153" s="101">
        <v>566.16999999999996</v>
      </c>
      <c r="AM153" s="101">
        <v>0</v>
      </c>
      <c r="AN153" s="101">
        <v>-566.16999999999996</v>
      </c>
      <c r="AO153" s="101">
        <v>0</v>
      </c>
      <c r="AP153" s="101">
        <v>0</v>
      </c>
      <c r="AQ153" s="101">
        <v>0</v>
      </c>
      <c r="AR153" s="101">
        <v>0</v>
      </c>
      <c r="AS153" s="101">
        <v>0</v>
      </c>
      <c r="AT153" s="101">
        <v>-566.16999999999996</v>
      </c>
      <c r="AU153" s="101">
        <v>0</v>
      </c>
    </row>
    <row r="154" spans="1:47">
      <c r="A154" s="102" t="s">
        <v>1016</v>
      </c>
      <c r="B154" s="102" t="e">
        <v>#N/A</v>
      </c>
      <c r="C154" s="101">
        <v>0</v>
      </c>
      <c r="D154" s="101">
        <v>0</v>
      </c>
      <c r="E154" s="101">
        <v>0</v>
      </c>
      <c r="F154" s="101">
        <v>0</v>
      </c>
      <c r="G154" s="101">
        <v>0</v>
      </c>
      <c r="H154" s="101">
        <v>0</v>
      </c>
      <c r="I154" s="101">
        <v>0</v>
      </c>
      <c r="J154" s="101">
        <v>0</v>
      </c>
      <c r="K154" s="101">
        <v>0</v>
      </c>
      <c r="L154" s="101">
        <v>0</v>
      </c>
      <c r="M154" s="101">
        <v>0</v>
      </c>
      <c r="N154" s="101">
        <v>0</v>
      </c>
      <c r="O154" s="101">
        <v>0</v>
      </c>
      <c r="P154" s="101">
        <v>0</v>
      </c>
      <c r="Q154" s="101">
        <v>0</v>
      </c>
      <c r="R154" s="101">
        <v>0</v>
      </c>
      <c r="S154" s="101">
        <v>0</v>
      </c>
      <c r="T154" s="101">
        <v>0</v>
      </c>
      <c r="U154" s="101">
        <v>0</v>
      </c>
      <c r="V154" s="101">
        <v>0</v>
      </c>
      <c r="W154" s="101">
        <v>0</v>
      </c>
      <c r="X154" s="101">
        <v>0</v>
      </c>
      <c r="Y154" s="101">
        <v>0</v>
      </c>
      <c r="Z154" s="101">
        <v>0</v>
      </c>
      <c r="AA154" s="101">
        <v>0</v>
      </c>
      <c r="AB154" s="101">
        <v>0</v>
      </c>
      <c r="AC154" s="101">
        <v>0</v>
      </c>
      <c r="AD154" s="101">
        <v>0</v>
      </c>
      <c r="AE154" s="101">
        <v>0</v>
      </c>
      <c r="AF154" s="101">
        <v>0</v>
      </c>
      <c r="AG154" s="101">
        <v>0</v>
      </c>
      <c r="AH154" s="101">
        <v>0</v>
      </c>
      <c r="AI154" s="101">
        <v>0</v>
      </c>
      <c r="AJ154" s="101">
        <v>0</v>
      </c>
      <c r="AK154" s="101">
        <v>0</v>
      </c>
      <c r="AL154" s="101">
        <v>0</v>
      </c>
      <c r="AM154" s="101">
        <v>0</v>
      </c>
      <c r="AN154" s="101">
        <v>0</v>
      </c>
      <c r="AO154" s="101">
        <v>0</v>
      </c>
      <c r="AP154" s="101">
        <v>0</v>
      </c>
      <c r="AQ154" s="101">
        <v>0</v>
      </c>
      <c r="AR154" s="101">
        <v>0</v>
      </c>
      <c r="AS154" s="101">
        <v>0</v>
      </c>
      <c r="AT154" s="101">
        <v>0</v>
      </c>
      <c r="AU154" s="101">
        <v>0</v>
      </c>
    </row>
    <row r="155" spans="1:47">
      <c r="A155" s="102" t="s">
        <v>1017</v>
      </c>
      <c r="B155" s="102" t="e">
        <v>#N/A</v>
      </c>
      <c r="C155" s="101">
        <v>0</v>
      </c>
      <c r="D155" s="101">
        <v>0</v>
      </c>
      <c r="E155" s="101">
        <v>0</v>
      </c>
      <c r="F155" s="101">
        <v>0</v>
      </c>
      <c r="G155" s="101">
        <v>0</v>
      </c>
      <c r="H155" s="101">
        <v>0</v>
      </c>
      <c r="I155" s="101">
        <v>0</v>
      </c>
      <c r="J155" s="101">
        <v>0</v>
      </c>
      <c r="K155" s="101">
        <v>0</v>
      </c>
      <c r="L155" s="101">
        <v>0</v>
      </c>
      <c r="M155" s="101">
        <v>0</v>
      </c>
      <c r="N155" s="101">
        <v>0</v>
      </c>
      <c r="O155" s="101">
        <v>0</v>
      </c>
      <c r="P155" s="101">
        <v>0</v>
      </c>
      <c r="Q155" s="101">
        <v>0</v>
      </c>
      <c r="R155" s="101">
        <v>0</v>
      </c>
      <c r="S155" s="101">
        <v>0</v>
      </c>
      <c r="T155" s="101">
        <v>0</v>
      </c>
      <c r="U155" s="101">
        <v>0</v>
      </c>
      <c r="V155" s="101">
        <v>0</v>
      </c>
      <c r="W155" s="101">
        <v>0</v>
      </c>
      <c r="X155" s="101">
        <v>0</v>
      </c>
      <c r="Y155" s="101">
        <v>0</v>
      </c>
      <c r="Z155" s="101">
        <v>0</v>
      </c>
      <c r="AA155" s="101">
        <v>0</v>
      </c>
      <c r="AB155" s="101">
        <v>0</v>
      </c>
      <c r="AC155" s="101">
        <v>0</v>
      </c>
      <c r="AD155" s="101">
        <v>0</v>
      </c>
      <c r="AE155" s="101">
        <v>0</v>
      </c>
      <c r="AF155" s="101">
        <v>0</v>
      </c>
      <c r="AG155" s="101">
        <v>0</v>
      </c>
      <c r="AH155" s="101">
        <v>0</v>
      </c>
      <c r="AI155" s="101">
        <v>0</v>
      </c>
      <c r="AJ155" s="101">
        <v>0</v>
      </c>
      <c r="AK155" s="101">
        <v>0</v>
      </c>
      <c r="AL155" s="101">
        <v>0</v>
      </c>
      <c r="AM155" s="101">
        <v>0</v>
      </c>
      <c r="AN155" s="101">
        <v>0</v>
      </c>
      <c r="AO155" s="101">
        <v>0</v>
      </c>
      <c r="AP155" s="101">
        <v>0</v>
      </c>
      <c r="AQ155" s="101">
        <v>0</v>
      </c>
      <c r="AR155" s="101">
        <v>0</v>
      </c>
      <c r="AS155" s="101">
        <v>0</v>
      </c>
      <c r="AT155" s="101">
        <v>0</v>
      </c>
      <c r="AU155" s="101">
        <v>0</v>
      </c>
    </row>
    <row r="156" spans="1:47">
      <c r="A156" s="102" t="s">
        <v>1018</v>
      </c>
      <c r="B156" s="102" t="e">
        <v>#N/A</v>
      </c>
      <c r="C156" s="101">
        <v>0</v>
      </c>
      <c r="D156" s="101">
        <v>0</v>
      </c>
      <c r="E156" s="101">
        <v>0</v>
      </c>
      <c r="F156" s="101">
        <v>0</v>
      </c>
      <c r="G156" s="101">
        <v>0</v>
      </c>
      <c r="H156" s="101">
        <v>0</v>
      </c>
      <c r="I156" s="101">
        <v>0</v>
      </c>
      <c r="J156" s="101">
        <v>0</v>
      </c>
      <c r="K156" s="101">
        <v>0</v>
      </c>
      <c r="L156" s="101">
        <v>0</v>
      </c>
      <c r="M156" s="101">
        <v>0</v>
      </c>
      <c r="N156" s="101">
        <v>0</v>
      </c>
      <c r="O156" s="101">
        <v>0</v>
      </c>
      <c r="P156" s="101">
        <v>0</v>
      </c>
      <c r="Q156" s="101">
        <v>0</v>
      </c>
      <c r="R156" s="101">
        <v>0</v>
      </c>
      <c r="S156" s="101">
        <v>0</v>
      </c>
      <c r="T156" s="101">
        <v>0</v>
      </c>
      <c r="U156" s="101">
        <v>0</v>
      </c>
      <c r="V156" s="101">
        <v>0</v>
      </c>
      <c r="W156" s="101">
        <v>0</v>
      </c>
      <c r="X156" s="101">
        <v>0</v>
      </c>
      <c r="Y156" s="101">
        <v>0</v>
      </c>
      <c r="Z156" s="101">
        <v>0</v>
      </c>
      <c r="AA156" s="101">
        <v>0</v>
      </c>
      <c r="AB156" s="101">
        <v>0</v>
      </c>
      <c r="AC156" s="101">
        <v>0</v>
      </c>
      <c r="AD156" s="101">
        <v>0</v>
      </c>
      <c r="AE156" s="101">
        <v>0</v>
      </c>
      <c r="AF156" s="101">
        <v>0</v>
      </c>
      <c r="AG156" s="101">
        <v>0</v>
      </c>
      <c r="AH156" s="101">
        <v>0</v>
      </c>
      <c r="AI156" s="101">
        <v>0</v>
      </c>
      <c r="AJ156" s="101">
        <v>0</v>
      </c>
      <c r="AK156" s="101">
        <v>0</v>
      </c>
      <c r="AL156" s="101">
        <v>744.54</v>
      </c>
      <c r="AM156" s="101">
        <v>0</v>
      </c>
      <c r="AN156" s="101">
        <v>-744.54</v>
      </c>
      <c r="AO156" s="101">
        <v>0</v>
      </c>
      <c r="AP156" s="101">
        <v>0</v>
      </c>
      <c r="AQ156" s="101">
        <v>0</v>
      </c>
      <c r="AR156" s="101">
        <v>0</v>
      </c>
      <c r="AS156" s="101">
        <v>0</v>
      </c>
      <c r="AT156" s="101">
        <v>-744.54</v>
      </c>
      <c r="AU156" s="101">
        <v>0</v>
      </c>
    </row>
    <row r="157" spans="1:47">
      <c r="A157" s="102" t="s">
        <v>1019</v>
      </c>
      <c r="B157" s="102" t="e">
        <v>#N/A</v>
      </c>
      <c r="C157" s="101">
        <v>0</v>
      </c>
      <c r="D157" s="101">
        <v>0</v>
      </c>
      <c r="E157" s="101">
        <v>0</v>
      </c>
      <c r="F157" s="101">
        <v>0</v>
      </c>
      <c r="G157" s="101">
        <v>0</v>
      </c>
      <c r="H157" s="101">
        <v>0</v>
      </c>
      <c r="I157" s="101">
        <v>0</v>
      </c>
      <c r="J157" s="101">
        <v>0</v>
      </c>
      <c r="K157" s="101">
        <v>0</v>
      </c>
      <c r="L157" s="101">
        <v>0</v>
      </c>
      <c r="M157" s="101">
        <v>0</v>
      </c>
      <c r="N157" s="101">
        <v>0</v>
      </c>
      <c r="O157" s="101">
        <v>0</v>
      </c>
      <c r="P157" s="101">
        <v>0</v>
      </c>
      <c r="Q157" s="101">
        <v>0</v>
      </c>
      <c r="R157" s="101">
        <v>0</v>
      </c>
      <c r="S157" s="101">
        <v>0</v>
      </c>
      <c r="T157" s="101">
        <v>0</v>
      </c>
      <c r="U157" s="101">
        <v>0</v>
      </c>
      <c r="V157" s="101">
        <v>0</v>
      </c>
      <c r="W157" s="101">
        <v>0</v>
      </c>
      <c r="X157" s="101">
        <v>0</v>
      </c>
      <c r="Y157" s="101">
        <v>0</v>
      </c>
      <c r="Z157" s="101">
        <v>0</v>
      </c>
      <c r="AA157" s="101">
        <v>0</v>
      </c>
      <c r="AB157" s="101">
        <v>0</v>
      </c>
      <c r="AC157" s="101">
        <v>0</v>
      </c>
      <c r="AD157" s="101">
        <v>0</v>
      </c>
      <c r="AE157" s="101">
        <v>0</v>
      </c>
      <c r="AF157" s="101">
        <v>0</v>
      </c>
      <c r="AG157" s="101">
        <v>0</v>
      </c>
      <c r="AH157" s="101">
        <v>0</v>
      </c>
      <c r="AI157" s="101">
        <v>0</v>
      </c>
      <c r="AJ157" s="101">
        <v>1773.8870240000001</v>
      </c>
      <c r="AK157" s="101">
        <v>0</v>
      </c>
      <c r="AL157" s="101">
        <v>657.18561999999997</v>
      </c>
      <c r="AM157" s="101">
        <v>0</v>
      </c>
      <c r="AN157" s="101">
        <v>1116.7014039999999</v>
      </c>
      <c r="AO157" s="101">
        <v>0</v>
      </c>
      <c r="AP157" s="101">
        <v>0</v>
      </c>
      <c r="AQ157" s="101">
        <v>0</v>
      </c>
      <c r="AR157" s="101">
        <v>0</v>
      </c>
      <c r="AS157" s="101">
        <v>0</v>
      </c>
      <c r="AT157" s="101">
        <v>1116.7014039999999</v>
      </c>
      <c r="AU157" s="101">
        <v>0</v>
      </c>
    </row>
    <row r="158" spans="1:47">
      <c r="A158" s="102" t="s">
        <v>1020</v>
      </c>
      <c r="B158" s="102" t="e">
        <v>#N/A</v>
      </c>
      <c r="C158" s="101">
        <v>0</v>
      </c>
      <c r="D158" s="101">
        <v>0</v>
      </c>
      <c r="E158" s="101">
        <v>0</v>
      </c>
      <c r="F158" s="101">
        <v>0</v>
      </c>
      <c r="G158" s="101">
        <v>0</v>
      </c>
      <c r="H158" s="101">
        <v>0</v>
      </c>
      <c r="I158" s="101">
        <v>0</v>
      </c>
      <c r="J158" s="101">
        <v>0</v>
      </c>
      <c r="K158" s="101">
        <v>0</v>
      </c>
      <c r="L158" s="101">
        <v>0</v>
      </c>
      <c r="M158" s="101">
        <v>0</v>
      </c>
      <c r="N158" s="101">
        <v>0</v>
      </c>
      <c r="O158" s="101">
        <v>0</v>
      </c>
      <c r="P158" s="101">
        <v>0</v>
      </c>
      <c r="Q158" s="101">
        <v>0</v>
      </c>
      <c r="R158" s="101">
        <v>0</v>
      </c>
      <c r="S158" s="101">
        <v>0</v>
      </c>
      <c r="T158" s="101">
        <v>0</v>
      </c>
      <c r="U158" s="101">
        <v>0</v>
      </c>
      <c r="V158" s="101">
        <v>0</v>
      </c>
      <c r="W158" s="101">
        <v>0</v>
      </c>
      <c r="X158" s="101">
        <v>0</v>
      </c>
      <c r="Y158" s="101">
        <v>0</v>
      </c>
      <c r="Z158" s="101">
        <v>0</v>
      </c>
      <c r="AA158" s="101">
        <v>0</v>
      </c>
      <c r="AB158" s="101">
        <v>0</v>
      </c>
      <c r="AC158" s="101">
        <v>0</v>
      </c>
      <c r="AD158" s="101">
        <v>0</v>
      </c>
      <c r="AE158" s="101">
        <v>0</v>
      </c>
      <c r="AF158" s="101">
        <v>0</v>
      </c>
      <c r="AG158" s="101">
        <v>0</v>
      </c>
      <c r="AH158" s="101">
        <v>0</v>
      </c>
      <c r="AI158" s="101">
        <v>0</v>
      </c>
      <c r="AJ158" s="101">
        <v>0</v>
      </c>
      <c r="AK158" s="101">
        <v>0</v>
      </c>
      <c r="AL158" s="101">
        <v>1977.03</v>
      </c>
      <c r="AM158" s="101">
        <v>0</v>
      </c>
      <c r="AN158" s="101">
        <v>-1977.03</v>
      </c>
      <c r="AO158" s="101">
        <v>0</v>
      </c>
      <c r="AP158" s="101">
        <v>0</v>
      </c>
      <c r="AQ158" s="101">
        <v>0</v>
      </c>
      <c r="AR158" s="101">
        <v>0</v>
      </c>
      <c r="AS158" s="101">
        <v>0</v>
      </c>
      <c r="AT158" s="101">
        <v>-1977.03</v>
      </c>
      <c r="AU158" s="101">
        <v>0</v>
      </c>
    </row>
    <row r="159" spans="1:47">
      <c r="A159" s="102" t="s">
        <v>1021</v>
      </c>
      <c r="B159" s="102" t="e">
        <v>#N/A</v>
      </c>
      <c r="C159" s="101">
        <v>0</v>
      </c>
      <c r="D159" s="101">
        <v>0</v>
      </c>
      <c r="E159" s="101">
        <v>0</v>
      </c>
      <c r="F159" s="101">
        <v>0</v>
      </c>
      <c r="G159" s="101">
        <v>0</v>
      </c>
      <c r="H159" s="101">
        <v>0</v>
      </c>
      <c r="I159" s="101">
        <v>0</v>
      </c>
      <c r="J159" s="101">
        <v>0</v>
      </c>
      <c r="K159" s="101">
        <v>0</v>
      </c>
      <c r="L159" s="101">
        <v>0</v>
      </c>
      <c r="M159" s="101">
        <v>0</v>
      </c>
      <c r="N159" s="101">
        <v>0</v>
      </c>
      <c r="O159" s="101">
        <v>0</v>
      </c>
      <c r="P159" s="101">
        <v>0</v>
      </c>
      <c r="Q159" s="101">
        <v>0</v>
      </c>
      <c r="R159" s="101">
        <v>0</v>
      </c>
      <c r="S159" s="101">
        <v>0</v>
      </c>
      <c r="T159" s="101">
        <v>0</v>
      </c>
      <c r="U159" s="101">
        <v>0</v>
      </c>
      <c r="V159" s="101">
        <v>0</v>
      </c>
      <c r="W159" s="101">
        <v>0</v>
      </c>
      <c r="X159" s="101">
        <v>0</v>
      </c>
      <c r="Y159" s="101">
        <v>0</v>
      </c>
      <c r="Z159" s="101">
        <v>0</v>
      </c>
      <c r="AA159" s="101">
        <v>0</v>
      </c>
      <c r="AB159" s="101">
        <v>0</v>
      </c>
      <c r="AC159" s="101">
        <v>0</v>
      </c>
      <c r="AD159" s="101">
        <v>0</v>
      </c>
      <c r="AE159" s="101">
        <v>0</v>
      </c>
      <c r="AF159" s="101">
        <v>0</v>
      </c>
      <c r="AG159" s="101">
        <v>0</v>
      </c>
      <c r="AH159" s="101">
        <v>0</v>
      </c>
      <c r="AI159" s="101">
        <v>0</v>
      </c>
      <c r="AJ159" s="101">
        <v>1773.8870240000001</v>
      </c>
      <c r="AK159" s="101">
        <v>0</v>
      </c>
      <c r="AL159" s="101">
        <v>3944.92562</v>
      </c>
      <c r="AM159" s="101">
        <v>0</v>
      </c>
      <c r="AN159" s="101">
        <v>-2171.0385959999999</v>
      </c>
      <c r="AO159" s="101">
        <v>0</v>
      </c>
      <c r="AP159" s="101">
        <v>0</v>
      </c>
      <c r="AQ159" s="101">
        <v>0</v>
      </c>
      <c r="AR159" s="101">
        <v>0</v>
      </c>
      <c r="AS159" s="101">
        <v>0</v>
      </c>
      <c r="AT159" s="101">
        <v>-2171.0385959999999</v>
      </c>
      <c r="AU159" s="101">
        <v>0</v>
      </c>
    </row>
    <row r="160" spans="1:47">
      <c r="A160" s="102" t="s">
        <v>1022</v>
      </c>
      <c r="B160" s="102" t="e">
        <v>#N/A</v>
      </c>
      <c r="C160" s="101">
        <v>0</v>
      </c>
      <c r="D160" s="101">
        <v>0</v>
      </c>
      <c r="E160" s="101">
        <v>0</v>
      </c>
      <c r="F160" s="101">
        <v>0</v>
      </c>
      <c r="G160" s="101">
        <v>0</v>
      </c>
      <c r="H160" s="101">
        <v>0</v>
      </c>
      <c r="I160" s="101">
        <v>0</v>
      </c>
      <c r="J160" s="101">
        <v>0</v>
      </c>
      <c r="K160" s="101">
        <v>0</v>
      </c>
      <c r="L160" s="101">
        <v>0</v>
      </c>
      <c r="M160" s="101">
        <v>0</v>
      </c>
      <c r="N160" s="101">
        <v>0</v>
      </c>
      <c r="O160" s="101">
        <v>0</v>
      </c>
      <c r="P160" s="101">
        <v>0</v>
      </c>
      <c r="Q160" s="101">
        <v>0</v>
      </c>
      <c r="R160" s="101">
        <v>0</v>
      </c>
      <c r="S160" s="101">
        <v>0</v>
      </c>
      <c r="T160" s="101">
        <v>0</v>
      </c>
      <c r="U160" s="101">
        <v>0</v>
      </c>
      <c r="V160" s="101">
        <v>0</v>
      </c>
      <c r="W160" s="101">
        <v>0</v>
      </c>
      <c r="X160" s="101">
        <v>0</v>
      </c>
      <c r="Y160" s="101">
        <v>0</v>
      </c>
      <c r="Z160" s="101">
        <v>0</v>
      </c>
      <c r="AA160" s="101">
        <v>0</v>
      </c>
      <c r="AB160" s="101">
        <v>0</v>
      </c>
      <c r="AC160" s="101">
        <v>0</v>
      </c>
      <c r="AD160" s="101">
        <v>0</v>
      </c>
      <c r="AE160" s="101">
        <v>0</v>
      </c>
      <c r="AF160" s="101">
        <v>0</v>
      </c>
      <c r="AG160" s="101">
        <v>0</v>
      </c>
      <c r="AH160" s="101">
        <v>0</v>
      </c>
      <c r="AI160" s="101">
        <v>0</v>
      </c>
      <c r="AJ160" s="101">
        <v>0</v>
      </c>
      <c r="AK160" s="101">
        <v>0</v>
      </c>
      <c r="AL160" s="101">
        <v>0</v>
      </c>
      <c r="AM160" s="101">
        <v>0</v>
      </c>
      <c r="AN160" s="101">
        <v>0</v>
      </c>
      <c r="AO160" s="101">
        <v>0</v>
      </c>
      <c r="AP160" s="101">
        <v>0</v>
      </c>
      <c r="AQ160" s="101">
        <v>0</v>
      </c>
      <c r="AR160" s="101">
        <v>0</v>
      </c>
      <c r="AS160" s="101">
        <v>0</v>
      </c>
      <c r="AT160" s="101">
        <v>0</v>
      </c>
      <c r="AU160" s="101">
        <v>0</v>
      </c>
    </row>
    <row r="161" spans="1:47">
      <c r="A161" s="102" t="s">
        <v>1023</v>
      </c>
      <c r="B161" s="102" t="e">
        <v>#N/A</v>
      </c>
      <c r="C161" s="101">
        <v>0</v>
      </c>
      <c r="D161" s="101">
        <v>0</v>
      </c>
      <c r="E161" s="101">
        <v>0</v>
      </c>
      <c r="F161" s="101">
        <v>0</v>
      </c>
      <c r="G161" s="101">
        <v>0</v>
      </c>
      <c r="H161" s="101">
        <v>0</v>
      </c>
      <c r="I161" s="101">
        <v>0</v>
      </c>
      <c r="J161" s="101">
        <v>0</v>
      </c>
      <c r="K161" s="101">
        <v>0</v>
      </c>
      <c r="L161" s="101">
        <v>0</v>
      </c>
      <c r="M161" s="101">
        <v>0</v>
      </c>
      <c r="N161" s="101">
        <v>0</v>
      </c>
      <c r="O161" s="101">
        <v>0</v>
      </c>
      <c r="P161" s="101">
        <v>0</v>
      </c>
      <c r="Q161" s="101">
        <v>0</v>
      </c>
      <c r="R161" s="101">
        <v>0</v>
      </c>
      <c r="S161" s="101">
        <v>0</v>
      </c>
      <c r="T161" s="101">
        <v>0</v>
      </c>
      <c r="U161" s="101">
        <v>0</v>
      </c>
      <c r="V161" s="101">
        <v>0</v>
      </c>
      <c r="W161" s="101">
        <v>0</v>
      </c>
      <c r="X161" s="101">
        <v>0</v>
      </c>
      <c r="Y161" s="101">
        <v>0</v>
      </c>
      <c r="Z161" s="101">
        <v>0</v>
      </c>
      <c r="AA161" s="101">
        <v>0</v>
      </c>
      <c r="AB161" s="101">
        <v>0</v>
      </c>
      <c r="AC161" s="101">
        <v>0</v>
      </c>
      <c r="AD161" s="101">
        <v>0</v>
      </c>
      <c r="AE161" s="101">
        <v>0</v>
      </c>
      <c r="AF161" s="101">
        <v>0</v>
      </c>
      <c r="AG161" s="101">
        <v>0</v>
      </c>
      <c r="AH161" s="101">
        <v>0</v>
      </c>
      <c r="AI161" s="101">
        <v>0</v>
      </c>
      <c r="AJ161" s="101">
        <v>0</v>
      </c>
      <c r="AK161" s="101">
        <v>0</v>
      </c>
      <c r="AL161" s="101">
        <v>0</v>
      </c>
      <c r="AM161" s="101">
        <v>0</v>
      </c>
      <c r="AN161" s="101">
        <v>0</v>
      </c>
      <c r="AO161" s="101">
        <v>0</v>
      </c>
      <c r="AP161" s="101">
        <v>0</v>
      </c>
      <c r="AQ161" s="101">
        <v>0</v>
      </c>
      <c r="AR161" s="101">
        <v>0</v>
      </c>
      <c r="AS161" s="101">
        <v>0</v>
      </c>
      <c r="AT161" s="101">
        <v>0</v>
      </c>
      <c r="AU161" s="101">
        <v>0</v>
      </c>
    </row>
    <row r="162" spans="1:47">
      <c r="A162" s="102" t="s">
        <v>1024</v>
      </c>
      <c r="B162" s="102" t="e">
        <v>#N/A</v>
      </c>
      <c r="C162" s="101">
        <v>0</v>
      </c>
      <c r="D162" s="101">
        <v>0</v>
      </c>
      <c r="E162" s="101">
        <v>0</v>
      </c>
      <c r="F162" s="101">
        <v>0</v>
      </c>
      <c r="G162" s="101">
        <v>0</v>
      </c>
      <c r="H162" s="101">
        <v>0</v>
      </c>
      <c r="I162" s="101">
        <v>0</v>
      </c>
      <c r="J162" s="101">
        <v>0</v>
      </c>
      <c r="K162" s="101">
        <v>0</v>
      </c>
      <c r="L162" s="101">
        <v>0</v>
      </c>
      <c r="M162" s="101">
        <v>0</v>
      </c>
      <c r="N162" s="101">
        <v>0</v>
      </c>
      <c r="O162" s="101">
        <v>0</v>
      </c>
      <c r="P162" s="101">
        <v>0</v>
      </c>
      <c r="Q162" s="101">
        <v>0</v>
      </c>
      <c r="R162" s="101">
        <v>0</v>
      </c>
      <c r="S162" s="101">
        <v>0</v>
      </c>
      <c r="T162" s="101">
        <v>0</v>
      </c>
      <c r="U162" s="101">
        <v>0</v>
      </c>
      <c r="V162" s="101">
        <v>0</v>
      </c>
      <c r="W162" s="101">
        <v>0</v>
      </c>
      <c r="X162" s="101">
        <v>0</v>
      </c>
      <c r="Y162" s="101">
        <v>0</v>
      </c>
      <c r="Z162" s="101">
        <v>0</v>
      </c>
      <c r="AA162" s="101">
        <v>0</v>
      </c>
      <c r="AB162" s="101">
        <v>0</v>
      </c>
      <c r="AC162" s="101">
        <v>0</v>
      </c>
      <c r="AD162" s="101">
        <v>0</v>
      </c>
      <c r="AE162" s="101">
        <v>0</v>
      </c>
      <c r="AF162" s="101">
        <v>0</v>
      </c>
      <c r="AG162" s="101">
        <v>0</v>
      </c>
      <c r="AH162" s="101">
        <v>0</v>
      </c>
      <c r="AI162" s="101">
        <v>0</v>
      </c>
      <c r="AJ162" s="101">
        <v>0</v>
      </c>
      <c r="AK162" s="101">
        <v>0</v>
      </c>
      <c r="AL162" s="101">
        <v>0</v>
      </c>
      <c r="AM162" s="101">
        <v>0</v>
      </c>
      <c r="AN162" s="101">
        <v>0</v>
      </c>
      <c r="AO162" s="101">
        <v>0</v>
      </c>
      <c r="AP162" s="101">
        <v>0</v>
      </c>
      <c r="AQ162" s="101">
        <v>0</v>
      </c>
      <c r="AR162" s="101">
        <v>0</v>
      </c>
      <c r="AS162" s="101">
        <v>0</v>
      </c>
      <c r="AT162" s="101">
        <v>0</v>
      </c>
      <c r="AU162" s="101">
        <v>0</v>
      </c>
    </row>
    <row r="163" spans="1:47">
      <c r="A163" s="102" t="s">
        <v>1025</v>
      </c>
      <c r="B163" s="102" t="e">
        <v>#N/A</v>
      </c>
      <c r="C163" s="101">
        <v>1883100.1599999999</v>
      </c>
      <c r="D163" s="101">
        <v>2677136</v>
      </c>
      <c r="E163" s="101">
        <v>144257371.73459384</v>
      </c>
      <c r="F163" s="101">
        <v>208065061.15428805</v>
      </c>
      <c r="G163" s="101">
        <v>49805516.03549087</v>
      </c>
      <c r="H163" s="101">
        <v>131186665.90192556</v>
      </c>
      <c r="I163" s="101">
        <v>48736578.788418755</v>
      </c>
      <c r="J163" s="101">
        <v>76878395.252362505</v>
      </c>
      <c r="K163" s="101">
        <v>58355026.17023699</v>
      </c>
      <c r="L163" s="101">
        <v>1916098.915</v>
      </c>
      <c r="M163" s="101">
        <v>0</v>
      </c>
      <c r="N163" s="101">
        <v>-938623</v>
      </c>
      <c r="O163" s="101">
        <v>0</v>
      </c>
      <c r="P163" s="101">
        <v>16607270.167125504</v>
      </c>
      <c r="Q163" s="101">
        <v>4574857.38699333</v>
      </c>
      <c r="R163" s="101">
        <v>3333493.17</v>
      </c>
      <c r="S163" s="101">
        <v>4609220</v>
      </c>
      <c r="T163" s="101">
        <v>264177719.14211842</v>
      </c>
      <c r="U163" s="101">
        <v>379600376.05375755</v>
      </c>
      <c r="V163" s="101">
        <v>89646125.757629901</v>
      </c>
      <c r="W163" s="101">
        <v>227321474.66223708</v>
      </c>
      <c r="X163" s="101">
        <v>83685545.386708111</v>
      </c>
      <c r="Y163" s="101">
        <v>152278901.39152047</v>
      </c>
      <c r="Z163" s="101">
        <v>98843730.846834838</v>
      </c>
      <c r="AA163" s="101">
        <v>3318512.49</v>
      </c>
      <c r="AB163" s="101">
        <v>0</v>
      </c>
      <c r="AC163" s="101">
        <v>-1609068</v>
      </c>
      <c r="AD163" s="101">
        <v>0</v>
      </c>
      <c r="AE163" s="101">
        <v>50116658.05468566</v>
      </c>
      <c r="AF163" s="101">
        <v>8698475.7197818402</v>
      </c>
      <c r="AG163" s="101">
        <v>1906825.31</v>
      </c>
      <c r="AH163" s="101">
        <v>2677136</v>
      </c>
      <c r="AI163" s="101">
        <v>143889178.655981</v>
      </c>
      <c r="AJ163" s="101">
        <v>204709382.29666901</v>
      </c>
      <c r="AK163" s="101">
        <v>46769615.705099002</v>
      </c>
      <c r="AL163" s="101">
        <v>130476160.617791</v>
      </c>
      <c r="AM163" s="101">
        <v>47483295.111959018</v>
      </c>
      <c r="AN163" s="101">
        <v>74233221.67887798</v>
      </c>
      <c r="AO163" s="101">
        <v>58818453.925582998</v>
      </c>
      <c r="AP163" s="101">
        <v>1880043.1443340001</v>
      </c>
      <c r="AQ163" s="101">
        <v>0</v>
      </c>
      <c r="AR163" s="101">
        <v>-642111</v>
      </c>
      <c r="AS163" s="101">
        <v>0</v>
      </c>
      <c r="AT163" s="101">
        <v>13534724.608961018</v>
      </c>
      <c r="AU163" s="101">
        <v>4888534.9809649996</v>
      </c>
    </row>
    <row r="164" spans="1:47">
      <c r="A164" s="102" t="s">
        <v>1026</v>
      </c>
      <c r="B164" s="102" t="e">
        <v>#N/A</v>
      </c>
      <c r="C164" s="101">
        <v>0</v>
      </c>
      <c r="D164" s="101">
        <v>0</v>
      </c>
      <c r="E164" s="101">
        <v>0</v>
      </c>
      <c r="F164" s="101">
        <v>1775821.0891849999</v>
      </c>
      <c r="G164" s="101">
        <v>0</v>
      </c>
      <c r="H164" s="101">
        <v>1944231.9124904601</v>
      </c>
      <c r="I164" s="101">
        <v>947698.94752699998</v>
      </c>
      <c r="J164" s="101">
        <v>-168410.82330546001</v>
      </c>
      <c r="K164" s="101">
        <v>39445.218999999997</v>
      </c>
      <c r="L164" s="101">
        <v>0</v>
      </c>
      <c r="M164" s="101">
        <v>0</v>
      </c>
      <c r="N164" s="101">
        <v>0</v>
      </c>
      <c r="O164" s="101">
        <v>0</v>
      </c>
      <c r="P164" s="101">
        <v>-207856.04230546</v>
      </c>
      <c r="Q164" s="101">
        <v>-242571.40990500001</v>
      </c>
      <c r="R164" s="101">
        <v>0</v>
      </c>
      <c r="S164" s="101">
        <v>0</v>
      </c>
      <c r="T164" s="101">
        <v>0</v>
      </c>
      <c r="U164" s="101">
        <v>1755231.5761800001</v>
      </c>
      <c r="V164" s="101">
        <v>0</v>
      </c>
      <c r="W164" s="101">
        <v>2938526.6938473601</v>
      </c>
      <c r="X164" s="101">
        <v>1545725.9258000001</v>
      </c>
      <c r="Y164" s="101">
        <v>-1183295.11766736</v>
      </c>
      <c r="Z164" s="101">
        <v>71817.536999999997</v>
      </c>
      <c r="AA164" s="101">
        <v>0</v>
      </c>
      <c r="AB164" s="101">
        <v>0</v>
      </c>
      <c r="AC164" s="101">
        <v>0</v>
      </c>
      <c r="AD164" s="101">
        <v>0</v>
      </c>
      <c r="AE164" s="101">
        <v>-1255112.65466736</v>
      </c>
      <c r="AF164" s="101">
        <v>461450.56683000003</v>
      </c>
      <c r="AG164" s="101">
        <v>0</v>
      </c>
      <c r="AH164" s="101">
        <v>0</v>
      </c>
      <c r="AI164" s="101">
        <v>0</v>
      </c>
      <c r="AJ164" s="101">
        <v>1921966.91927</v>
      </c>
      <c r="AK164" s="101">
        <v>0</v>
      </c>
      <c r="AL164" s="101">
        <v>2590380.5634499998</v>
      </c>
      <c r="AM164" s="101">
        <v>918335.33589700004</v>
      </c>
      <c r="AN164" s="101">
        <v>-668413.64417999994</v>
      </c>
      <c r="AO164" s="101">
        <v>42160.148800000003</v>
      </c>
      <c r="AP164" s="101">
        <v>74190.926393999995</v>
      </c>
      <c r="AQ164" s="101">
        <v>399.56947100000002</v>
      </c>
      <c r="AR164" s="101">
        <v>0</v>
      </c>
      <c r="AS164" s="101">
        <v>0</v>
      </c>
      <c r="AT164" s="101">
        <v>-785164.28884499997</v>
      </c>
      <c r="AU164" s="101">
        <v>-1876297.3651070001</v>
      </c>
    </row>
    <row r="165" spans="1:47">
      <c r="A165" s="102" t="s">
        <v>1027</v>
      </c>
      <c r="B165" s="102" t="e">
        <v>#N/A</v>
      </c>
      <c r="C165" s="101">
        <v>230999.48</v>
      </c>
      <c r="D165" s="101">
        <v>377572</v>
      </c>
      <c r="E165" s="101">
        <v>11226630.667051002</v>
      </c>
      <c r="F165" s="101">
        <v>15823120.792356001</v>
      </c>
      <c r="G165" s="101">
        <v>3819514.0450300002</v>
      </c>
      <c r="H165" s="101">
        <v>11121385.047994999</v>
      </c>
      <c r="I165" s="101">
        <v>3891479.874204</v>
      </c>
      <c r="J165" s="101">
        <v>4701735.7443610029</v>
      </c>
      <c r="K165" s="101">
        <v>0</v>
      </c>
      <c r="L165" s="101">
        <v>436463.14834499999</v>
      </c>
      <c r="M165" s="101">
        <v>0</v>
      </c>
      <c r="N165" s="101">
        <v>0</v>
      </c>
      <c r="O165" s="101">
        <v>0</v>
      </c>
      <c r="P165" s="101">
        <v>4265272.5960160028</v>
      </c>
      <c r="Q165" s="101">
        <v>1056322.654937</v>
      </c>
      <c r="R165" s="101">
        <v>430455.69</v>
      </c>
      <c r="S165" s="101">
        <v>650065</v>
      </c>
      <c r="T165" s="101">
        <v>21894463.050748006</v>
      </c>
      <c r="U165" s="101">
        <v>31025014.036080003</v>
      </c>
      <c r="V165" s="101">
        <v>7584066.9419870004</v>
      </c>
      <c r="W165" s="101">
        <v>20248827.116788</v>
      </c>
      <c r="X165" s="101">
        <v>6978443.5664689997</v>
      </c>
      <c r="Y165" s="101">
        <v>10776186.919291997</v>
      </c>
      <c r="Z165" s="101">
        <v>0</v>
      </c>
      <c r="AA165" s="101">
        <v>748222.54001999996</v>
      </c>
      <c r="AB165" s="101">
        <v>0</v>
      </c>
      <c r="AC165" s="101">
        <v>0</v>
      </c>
      <c r="AD165" s="101">
        <v>0</v>
      </c>
      <c r="AE165" s="101">
        <v>10027964.379271997</v>
      </c>
      <c r="AF165" s="101">
        <v>1118360.647233</v>
      </c>
      <c r="AG165" s="101">
        <v>242152.26</v>
      </c>
      <c r="AH165" s="101">
        <v>377572</v>
      </c>
      <c r="AI165" s="101">
        <v>13457052.722591</v>
      </c>
      <c r="AJ165" s="101">
        <v>18887390.781915005</v>
      </c>
      <c r="AK165" s="101">
        <v>4479285.7522210013</v>
      </c>
      <c r="AL165" s="101">
        <v>11975269.039844001</v>
      </c>
      <c r="AM165" s="101">
        <v>3932580.0581040001</v>
      </c>
      <c r="AN165" s="101">
        <v>6912121.742070999</v>
      </c>
      <c r="AO165" s="101">
        <v>12292.136374</v>
      </c>
      <c r="AP165" s="101">
        <v>456578.35874200001</v>
      </c>
      <c r="AQ165" s="101">
        <v>-306.26662299999998</v>
      </c>
      <c r="AR165" s="101">
        <v>0</v>
      </c>
      <c r="AS165" s="101">
        <v>0</v>
      </c>
      <c r="AT165" s="101">
        <v>6443557.5135779949</v>
      </c>
      <c r="AU165" s="101">
        <v>1841414.038401</v>
      </c>
    </row>
    <row r="166" spans="1:47">
      <c r="A166" s="102" t="s">
        <v>1028</v>
      </c>
      <c r="B166" s="102" t="e">
        <v>#N/A</v>
      </c>
      <c r="C166" s="101">
        <v>230999.48</v>
      </c>
      <c r="D166" s="101">
        <v>377572</v>
      </c>
      <c r="E166" s="101">
        <v>11226630.667051002</v>
      </c>
      <c r="F166" s="101">
        <v>17598941.881541003</v>
      </c>
      <c r="G166" s="101">
        <v>3819514.0450300002</v>
      </c>
      <c r="H166" s="101">
        <v>13065616.960485462</v>
      </c>
      <c r="I166" s="101">
        <v>4839178.8217310002</v>
      </c>
      <c r="J166" s="101">
        <v>4533324.9210555442</v>
      </c>
      <c r="K166" s="101">
        <v>39445.218999999997</v>
      </c>
      <c r="L166" s="101">
        <v>436463.14834499999</v>
      </c>
      <c r="M166" s="101">
        <v>0</v>
      </c>
      <c r="N166" s="101">
        <v>0</v>
      </c>
      <c r="O166" s="101">
        <v>0</v>
      </c>
      <c r="P166" s="101">
        <v>4057416.5537105422</v>
      </c>
      <c r="Q166" s="101">
        <v>813751.24503200001</v>
      </c>
      <c r="R166" s="101">
        <v>430455.69</v>
      </c>
      <c r="S166" s="101">
        <v>650065</v>
      </c>
      <c r="T166" s="101">
        <v>21894463.050748006</v>
      </c>
      <c r="U166" s="101">
        <v>32780245.612260006</v>
      </c>
      <c r="V166" s="101">
        <v>7584066.9419870004</v>
      </c>
      <c r="W166" s="101">
        <v>23187353.810635369</v>
      </c>
      <c r="X166" s="101">
        <v>8524169.4922690019</v>
      </c>
      <c r="Y166" s="101">
        <v>9592891.8016246427</v>
      </c>
      <c r="Z166" s="101">
        <v>71817.536999999997</v>
      </c>
      <c r="AA166" s="101">
        <v>748222.54001999996</v>
      </c>
      <c r="AB166" s="101">
        <v>0</v>
      </c>
      <c r="AC166" s="101">
        <v>0</v>
      </c>
      <c r="AD166" s="101">
        <v>0</v>
      </c>
      <c r="AE166" s="101">
        <v>8772851.7246046402</v>
      </c>
      <c r="AF166" s="101">
        <v>1579811.2140629999</v>
      </c>
      <c r="AG166" s="101">
        <v>242152.26</v>
      </c>
      <c r="AH166" s="101">
        <v>377572</v>
      </c>
      <c r="AI166" s="101">
        <v>13457052.722591</v>
      </c>
      <c r="AJ166" s="101">
        <v>20809357.701184999</v>
      </c>
      <c r="AK166" s="101">
        <v>4479285.7522210013</v>
      </c>
      <c r="AL166" s="101">
        <v>14565649.603294002</v>
      </c>
      <c r="AM166" s="101">
        <v>4850915.3940010024</v>
      </c>
      <c r="AN166" s="101">
        <v>6243708.0978909973</v>
      </c>
      <c r="AO166" s="101">
        <v>54452.285173999997</v>
      </c>
      <c r="AP166" s="101">
        <v>530769.28513600002</v>
      </c>
      <c r="AQ166" s="101">
        <v>93.302847999999997</v>
      </c>
      <c r="AR166" s="101">
        <v>0</v>
      </c>
      <c r="AS166" s="101">
        <v>0</v>
      </c>
      <c r="AT166" s="101">
        <v>5658393.2247329969</v>
      </c>
      <c r="AU166" s="101">
        <v>-34883.326706</v>
      </c>
    </row>
    <row r="167" spans="1:47">
      <c r="A167" s="102" t="s">
        <v>1029</v>
      </c>
      <c r="B167" s="102" t="e">
        <v>#N/A</v>
      </c>
      <c r="C167" s="101">
        <v>203180.96</v>
      </c>
      <c r="D167" s="101">
        <v>291288</v>
      </c>
      <c r="E167" s="101">
        <v>13008915.747536</v>
      </c>
      <c r="F167" s="101">
        <v>20181195.62718964</v>
      </c>
      <c r="G167" s="101">
        <v>3929370.9267119998</v>
      </c>
      <c r="H167" s="101">
        <v>12154245.095808441</v>
      </c>
      <c r="I167" s="101">
        <v>3457592.4160212078</v>
      </c>
      <c r="J167" s="101">
        <v>8026950.531381215</v>
      </c>
      <c r="K167" s="101">
        <v>2059732.660256</v>
      </c>
      <c r="L167" s="101">
        <v>343408.45168</v>
      </c>
      <c r="M167" s="101">
        <v>0</v>
      </c>
      <c r="N167" s="101">
        <v>0</v>
      </c>
      <c r="O167" s="101">
        <v>0</v>
      </c>
      <c r="P167" s="101">
        <v>5623809.4194452148</v>
      </c>
      <c r="Q167" s="101">
        <v>371215.691276</v>
      </c>
      <c r="R167" s="101">
        <v>354468.96</v>
      </c>
      <c r="S167" s="101">
        <v>501510</v>
      </c>
      <c r="T167" s="101">
        <v>22875741.774443999</v>
      </c>
      <c r="U167" s="101">
        <v>35428266.841799237</v>
      </c>
      <c r="V167" s="101">
        <v>6974679.6530400012</v>
      </c>
      <c r="W167" s="101">
        <v>20817919.619728588</v>
      </c>
      <c r="X167" s="101">
        <v>5893947.2348049227</v>
      </c>
      <c r="Y167" s="101">
        <v>14610347.222070659</v>
      </c>
      <c r="Z167" s="101">
        <v>3588459.7840920002</v>
      </c>
      <c r="AA167" s="101">
        <v>588700.20288</v>
      </c>
      <c r="AB167" s="101">
        <v>0</v>
      </c>
      <c r="AC167" s="101">
        <v>0</v>
      </c>
      <c r="AD167" s="101">
        <v>0</v>
      </c>
      <c r="AE167" s="101">
        <v>10433187.235098658</v>
      </c>
      <c r="AF167" s="101">
        <v>746630.73212399997</v>
      </c>
      <c r="AG167" s="101">
        <v>185067.71</v>
      </c>
      <c r="AH167" s="101">
        <v>319484</v>
      </c>
      <c r="AI167" s="101">
        <v>13649943.695537999</v>
      </c>
      <c r="AJ167" s="101">
        <v>21072523.379136004</v>
      </c>
      <c r="AK167" s="101">
        <v>4030270.7707200008</v>
      </c>
      <c r="AL167" s="101">
        <v>13228074.769308005</v>
      </c>
      <c r="AM167" s="101">
        <v>1983519.178488001</v>
      </c>
      <c r="AN167" s="101">
        <v>7844448.6098280046</v>
      </c>
      <c r="AO167" s="101">
        <v>2726636.58513</v>
      </c>
      <c r="AP167" s="101">
        <v>340872.90790799999</v>
      </c>
      <c r="AQ167" s="101">
        <v>56967.664574000002</v>
      </c>
      <c r="AR167" s="101">
        <v>0</v>
      </c>
      <c r="AS167" s="101">
        <v>0</v>
      </c>
      <c r="AT167" s="101">
        <v>4719971.452216005</v>
      </c>
      <c r="AU167" s="101">
        <v>486205.12697400001</v>
      </c>
    </row>
    <row r="168" spans="1:47">
      <c r="A168" s="102" t="s">
        <v>1030</v>
      </c>
      <c r="B168" s="102" t="e">
        <v>#N/A</v>
      </c>
      <c r="C168" s="101">
        <v>434180.44</v>
      </c>
      <c r="D168" s="101">
        <v>668860</v>
      </c>
      <c r="E168" s="101">
        <v>24235546.414586999</v>
      </c>
      <c r="F168" s="101">
        <v>37780137.508730635</v>
      </c>
      <c r="G168" s="101">
        <v>7748884.9717420014</v>
      </c>
      <c r="H168" s="101">
        <v>25219862.056293875</v>
      </c>
      <c r="I168" s="101">
        <v>8296771.2377522066</v>
      </c>
      <c r="J168" s="101">
        <v>12560275.452436762</v>
      </c>
      <c r="K168" s="101">
        <v>2099177.8792559998</v>
      </c>
      <c r="L168" s="101">
        <v>779871.60002500005</v>
      </c>
      <c r="M168" s="101">
        <v>0</v>
      </c>
      <c r="N168" s="101">
        <v>0</v>
      </c>
      <c r="O168" s="101">
        <v>0</v>
      </c>
      <c r="P168" s="101">
        <v>9681225.9731557611</v>
      </c>
      <c r="Q168" s="101">
        <v>1184966.936308</v>
      </c>
      <c r="R168" s="101">
        <v>784924.65</v>
      </c>
      <c r="S168" s="101">
        <v>1151575</v>
      </c>
      <c r="T168" s="101">
        <v>44770204.825191997</v>
      </c>
      <c r="U168" s="101">
        <v>68208512.454059243</v>
      </c>
      <c r="V168" s="101">
        <v>14558746.595027</v>
      </c>
      <c r="W168" s="101">
        <v>44005273.430363961</v>
      </c>
      <c r="X168" s="101">
        <v>14418116.727073917</v>
      </c>
      <c r="Y168" s="101">
        <v>24203239.023695298</v>
      </c>
      <c r="Z168" s="101">
        <v>3660277.3210920002</v>
      </c>
      <c r="AA168" s="101">
        <v>1336922.7429</v>
      </c>
      <c r="AB168" s="101">
        <v>0</v>
      </c>
      <c r="AC168" s="101">
        <v>0</v>
      </c>
      <c r="AD168" s="101">
        <v>0</v>
      </c>
      <c r="AE168" s="101">
        <v>19206038.959703293</v>
      </c>
      <c r="AF168" s="101">
        <v>2326441.9461869998</v>
      </c>
      <c r="AG168" s="101">
        <v>427219.97</v>
      </c>
      <c r="AH168" s="101">
        <v>697056</v>
      </c>
      <c r="AI168" s="101">
        <v>27106996.418129001</v>
      </c>
      <c r="AJ168" s="101">
        <v>41881881.080320999</v>
      </c>
      <c r="AK168" s="101">
        <v>8509556.5229410008</v>
      </c>
      <c r="AL168" s="101">
        <v>27793724.372602005</v>
      </c>
      <c r="AM168" s="101">
        <v>6834434.5724890027</v>
      </c>
      <c r="AN168" s="101">
        <v>14088156.707718994</v>
      </c>
      <c r="AO168" s="101">
        <v>2781088.8703040001</v>
      </c>
      <c r="AP168" s="101">
        <v>871642.19304399996</v>
      </c>
      <c r="AQ168" s="101">
        <v>57060.967422000002</v>
      </c>
      <c r="AR168" s="101">
        <v>0</v>
      </c>
      <c r="AS168" s="101">
        <v>0</v>
      </c>
      <c r="AT168" s="101">
        <v>10378364.676949</v>
      </c>
      <c r="AU168" s="101">
        <v>451321.80026799999</v>
      </c>
    </row>
    <row r="169" spans="1:47">
      <c r="A169" s="102" t="s">
        <v>1031</v>
      </c>
      <c r="B169" s="102" t="e">
        <v>#N/A</v>
      </c>
      <c r="C169" s="101">
        <v>990985</v>
      </c>
      <c r="D169" s="101">
        <v>1530863</v>
      </c>
      <c r="E169" s="101">
        <v>93972374</v>
      </c>
      <c r="F169" s="101">
        <v>130155661.23</v>
      </c>
      <c r="G169" s="101">
        <v>26962937.609999999</v>
      </c>
      <c r="H169" s="101">
        <v>85576088.670000002</v>
      </c>
      <c r="I169" s="101">
        <v>27573223.860000003</v>
      </c>
      <c r="J169" s="101">
        <v>44579572.559999987</v>
      </c>
      <c r="K169" s="101">
        <v>23521915</v>
      </c>
      <c r="L169" s="101">
        <v>1257771.69</v>
      </c>
      <c r="M169" s="101">
        <v>0</v>
      </c>
      <c r="N169" s="101">
        <v>-553000</v>
      </c>
      <c r="O169" s="101">
        <v>0</v>
      </c>
      <c r="P169" s="101">
        <v>19799885.869999997</v>
      </c>
      <c r="Q169" s="101">
        <v>3559500</v>
      </c>
      <c r="R169" s="101">
        <v>1719477</v>
      </c>
      <c r="S169" s="101">
        <v>2652506</v>
      </c>
      <c r="T169" s="101">
        <v>162490151</v>
      </c>
      <c r="U169" s="101">
        <v>225675298.35000002</v>
      </c>
      <c r="V169" s="101">
        <v>47133704.740000002</v>
      </c>
      <c r="W169" s="101">
        <v>147264574.48000002</v>
      </c>
      <c r="X169" s="101">
        <v>47662878.009999998</v>
      </c>
      <c r="Y169" s="101">
        <v>78410723.86999999</v>
      </c>
      <c r="Z169" s="101">
        <v>40856720</v>
      </c>
      <c r="AA169" s="101">
        <v>2156250.04</v>
      </c>
      <c r="AB169" s="101">
        <v>0</v>
      </c>
      <c r="AC169" s="101">
        <v>-948000</v>
      </c>
      <c r="AD169" s="101">
        <v>0</v>
      </c>
      <c r="AE169" s="101">
        <v>35397753.830000006</v>
      </c>
      <c r="AF169" s="101">
        <v>6102000</v>
      </c>
      <c r="AG169" s="101">
        <v>990082.07</v>
      </c>
      <c r="AH169" s="101">
        <v>1539433</v>
      </c>
      <c r="AI169" s="101">
        <v>94207387.680000007</v>
      </c>
      <c r="AJ169" s="101">
        <v>129971931.70000002</v>
      </c>
      <c r="AK169" s="101">
        <v>26565662.129999995</v>
      </c>
      <c r="AL169" s="101">
        <v>85991814.150000006</v>
      </c>
      <c r="AM169" s="101">
        <v>26404550.670000006</v>
      </c>
      <c r="AN169" s="101">
        <v>43980117.550000004</v>
      </c>
      <c r="AO169" s="101">
        <v>23374853.550000004</v>
      </c>
      <c r="AP169" s="101">
        <v>1266926.53</v>
      </c>
      <c r="AQ169" s="101">
        <v>65.010000000000005</v>
      </c>
      <c r="AR169" s="101">
        <v>-162135.48000000001</v>
      </c>
      <c r="AS169" s="101">
        <v>0</v>
      </c>
      <c r="AT169" s="101">
        <v>19338272.459999993</v>
      </c>
      <c r="AU169" s="101">
        <v>3474350.4</v>
      </c>
    </row>
    <row r="170" spans="1:47">
      <c r="A170" s="102" t="s">
        <v>1032</v>
      </c>
      <c r="B170" s="102" t="e">
        <v>#N/A</v>
      </c>
      <c r="C170" s="101">
        <v>0</v>
      </c>
      <c r="D170" s="101">
        <v>0</v>
      </c>
      <c r="E170" s="101">
        <v>0</v>
      </c>
      <c r="F170" s="101">
        <v>1774444.4452</v>
      </c>
      <c r="G170" s="101">
        <v>0</v>
      </c>
      <c r="H170" s="101">
        <v>43671123.063600011</v>
      </c>
      <c r="I170" s="101">
        <v>13254185.703600001</v>
      </c>
      <c r="J170" s="101">
        <v>-41896678.6184</v>
      </c>
      <c r="K170" s="101">
        <v>504182</v>
      </c>
      <c r="L170" s="101">
        <v>637896</v>
      </c>
      <c r="M170" s="101">
        <v>0</v>
      </c>
      <c r="N170" s="101">
        <v>0</v>
      </c>
      <c r="O170" s="101">
        <v>0</v>
      </c>
      <c r="P170" s="101">
        <v>-43038756.6184</v>
      </c>
      <c r="Q170" s="101">
        <v>-21332919.289999999</v>
      </c>
      <c r="R170" s="101">
        <v>0</v>
      </c>
      <c r="S170" s="101">
        <v>0</v>
      </c>
      <c r="T170" s="101">
        <v>0</v>
      </c>
      <c r="U170" s="101">
        <v>3280000.0016999999</v>
      </c>
      <c r="V170" s="101">
        <v>0</v>
      </c>
      <c r="W170" s="101">
        <v>73342586.447899982</v>
      </c>
      <c r="X170" s="101">
        <v>22631847.717900001</v>
      </c>
      <c r="Y170" s="101">
        <v>-70062586.446199983</v>
      </c>
      <c r="Z170" s="101">
        <v>864312</v>
      </c>
      <c r="AA170" s="101">
        <v>1093536</v>
      </c>
      <c r="AB170" s="101">
        <v>0</v>
      </c>
      <c r="AC170" s="101">
        <v>0</v>
      </c>
      <c r="AD170" s="101">
        <v>0</v>
      </c>
      <c r="AE170" s="101">
        <v>-72020434.446199983</v>
      </c>
      <c r="AF170" s="101">
        <v>-38400362.240000002</v>
      </c>
      <c r="AG170" s="101">
        <v>0</v>
      </c>
      <c r="AH170" s="101">
        <v>0</v>
      </c>
      <c r="AI170" s="101">
        <v>0</v>
      </c>
      <c r="AJ170" s="101">
        <v>2901151.42</v>
      </c>
      <c r="AK170" s="101">
        <v>0</v>
      </c>
      <c r="AL170" s="101">
        <v>46040827.910000011</v>
      </c>
      <c r="AM170" s="101">
        <v>12414901.939999999</v>
      </c>
      <c r="AN170" s="101">
        <v>-43139676.49000001</v>
      </c>
      <c r="AO170" s="101">
        <v>1172105.1299999999</v>
      </c>
      <c r="AP170" s="101">
        <v>402018.9</v>
      </c>
      <c r="AQ170" s="101">
        <v>0</v>
      </c>
      <c r="AR170" s="101">
        <v>0</v>
      </c>
      <c r="AS170" s="101">
        <v>0</v>
      </c>
      <c r="AT170" s="101">
        <v>-44713800.520000011</v>
      </c>
      <c r="AU170" s="101">
        <v>-3676760.79</v>
      </c>
    </row>
    <row r="171" spans="1:47">
      <c r="A171" s="102" t="s">
        <v>1033</v>
      </c>
      <c r="B171" s="102" t="e">
        <v>#N/A</v>
      </c>
      <c r="C171" s="101">
        <v>0</v>
      </c>
      <c r="D171" s="101">
        <v>0</v>
      </c>
      <c r="E171" s="101">
        <v>0</v>
      </c>
      <c r="F171" s="101">
        <v>0</v>
      </c>
      <c r="G171" s="101">
        <v>0</v>
      </c>
      <c r="H171" s="101">
        <v>0</v>
      </c>
      <c r="I171" s="101">
        <v>0</v>
      </c>
      <c r="J171" s="101">
        <v>0</v>
      </c>
      <c r="K171" s="101">
        <v>0</v>
      </c>
      <c r="L171" s="101">
        <v>0</v>
      </c>
      <c r="M171" s="101">
        <v>0</v>
      </c>
      <c r="N171" s="101">
        <v>0</v>
      </c>
      <c r="O171" s="101">
        <v>0</v>
      </c>
      <c r="P171" s="101">
        <v>0</v>
      </c>
      <c r="Q171" s="101">
        <v>0</v>
      </c>
      <c r="R171" s="101">
        <v>0</v>
      </c>
      <c r="S171" s="101">
        <v>0</v>
      </c>
      <c r="T171" s="101">
        <v>0</v>
      </c>
      <c r="U171" s="101">
        <v>0</v>
      </c>
      <c r="V171" s="101">
        <v>0</v>
      </c>
      <c r="W171" s="101">
        <v>0</v>
      </c>
      <c r="X171" s="101">
        <v>0</v>
      </c>
      <c r="Y171" s="101">
        <v>0</v>
      </c>
      <c r="Z171" s="101">
        <v>0</v>
      </c>
      <c r="AA171" s="101">
        <v>0</v>
      </c>
      <c r="AB171" s="101">
        <v>0</v>
      </c>
      <c r="AC171" s="101">
        <v>0</v>
      </c>
      <c r="AD171" s="101">
        <v>0</v>
      </c>
      <c r="AE171" s="101">
        <v>0</v>
      </c>
      <c r="AF171" s="101">
        <v>0</v>
      </c>
      <c r="AG171" s="101">
        <v>0</v>
      </c>
      <c r="AH171" s="101">
        <v>0</v>
      </c>
      <c r="AI171" s="101">
        <v>0</v>
      </c>
      <c r="AJ171" s="101">
        <v>0</v>
      </c>
      <c r="AK171" s="101">
        <v>0</v>
      </c>
      <c r="AL171" s="101">
        <v>326.01</v>
      </c>
      <c r="AM171" s="101">
        <v>0</v>
      </c>
      <c r="AN171" s="101">
        <v>-326.01</v>
      </c>
      <c r="AO171" s="101">
        <v>0</v>
      </c>
      <c r="AP171" s="101">
        <v>0</v>
      </c>
      <c r="AQ171" s="101">
        <v>0</v>
      </c>
      <c r="AR171" s="101">
        <v>0</v>
      </c>
      <c r="AS171" s="101">
        <v>0</v>
      </c>
      <c r="AT171" s="101">
        <v>-326.01</v>
      </c>
      <c r="AU171" s="101">
        <v>0</v>
      </c>
    </row>
    <row r="172" spans="1:47">
      <c r="A172" s="102" t="s">
        <v>1034</v>
      </c>
      <c r="B172" s="102" t="e">
        <v>#N/A</v>
      </c>
      <c r="C172" s="101">
        <v>6138903.5</v>
      </c>
      <c r="D172" s="101">
        <v>9268557</v>
      </c>
      <c r="E172" s="101">
        <v>479424904.59032738</v>
      </c>
      <c r="F172" s="101">
        <v>716535257.66031301</v>
      </c>
      <c r="G172" s="101">
        <v>171354598.16600075</v>
      </c>
      <c r="H172" s="101">
        <v>508847274.08732367</v>
      </c>
      <c r="I172" s="101">
        <v>193948026.0990977</v>
      </c>
      <c r="J172" s="101">
        <v>207687983.57298931</v>
      </c>
      <c r="K172" s="101">
        <v>152421872.117331</v>
      </c>
      <c r="L172" s="101">
        <v>7744781.7396806804</v>
      </c>
      <c r="M172" s="101">
        <v>0</v>
      </c>
      <c r="N172" s="101">
        <v>-6787990.3200000012</v>
      </c>
      <c r="O172" s="101">
        <v>0</v>
      </c>
      <c r="P172" s="101">
        <v>47521329.71597755</v>
      </c>
      <c r="Q172" s="101">
        <v>-541675.33579848998</v>
      </c>
      <c r="R172" s="101">
        <v>10736992.9</v>
      </c>
      <c r="S172" s="101">
        <v>15957908</v>
      </c>
      <c r="T172" s="101">
        <v>850120939.90732646</v>
      </c>
      <c r="U172" s="101">
        <v>1272266884.2333419</v>
      </c>
      <c r="V172" s="101">
        <v>305314858.74192822</v>
      </c>
      <c r="W172" s="101">
        <v>877563326.32231915</v>
      </c>
      <c r="X172" s="101">
        <v>333278178.90210074</v>
      </c>
      <c r="Y172" s="101">
        <v>394703557.91102302</v>
      </c>
      <c r="Z172" s="101">
        <v>259594696.12913281</v>
      </c>
      <c r="AA172" s="101">
        <v>13315583.03142928</v>
      </c>
      <c r="AB172" s="101">
        <v>0</v>
      </c>
      <c r="AC172" s="101">
        <v>-11636557.52</v>
      </c>
      <c r="AD172" s="101">
        <v>0</v>
      </c>
      <c r="AE172" s="101">
        <v>121793278.75046097</v>
      </c>
      <c r="AF172" s="101">
        <v>-1045337.29983955</v>
      </c>
      <c r="AG172" s="101">
        <v>6157400.3499999996</v>
      </c>
      <c r="AH172" s="101">
        <v>9589808</v>
      </c>
      <c r="AI172" s="101">
        <v>476820544.698614</v>
      </c>
      <c r="AJ172" s="101">
        <v>715743328.87487805</v>
      </c>
      <c r="AK172" s="101">
        <v>168030525.05339998</v>
      </c>
      <c r="AL172" s="101">
        <v>517757988.06328881</v>
      </c>
      <c r="AM172" s="101">
        <v>183400799.69513196</v>
      </c>
      <c r="AN172" s="101">
        <v>197985340.81158897</v>
      </c>
      <c r="AO172" s="101">
        <v>148209553.88989902</v>
      </c>
      <c r="AP172" s="101">
        <v>7495316.2716880003</v>
      </c>
      <c r="AQ172" s="101">
        <v>109295.124862</v>
      </c>
      <c r="AR172" s="101">
        <v>-9870617.3600000013</v>
      </c>
      <c r="AS172" s="101">
        <v>0</v>
      </c>
      <c r="AT172" s="101">
        <v>42171175.525139906</v>
      </c>
      <c r="AU172" s="101">
        <v>10971715.140578991</v>
      </c>
    </row>
    <row r="173" spans="1:47">
      <c r="A173" s="102" t="s">
        <v>649</v>
      </c>
      <c r="B173" s="102" t="s">
        <v>650</v>
      </c>
      <c r="C173" s="101">
        <v>7345.19</v>
      </c>
      <c r="D173" s="101">
        <v>11872</v>
      </c>
      <c r="E173" s="101">
        <v>439876</v>
      </c>
      <c r="F173" s="101">
        <v>482584</v>
      </c>
      <c r="G173" s="101">
        <v>37501</v>
      </c>
      <c r="H173" s="101">
        <v>367089.01</v>
      </c>
      <c r="I173" s="101">
        <v>209976.2</v>
      </c>
      <c r="J173" s="101">
        <v>115494.99</v>
      </c>
      <c r="K173" s="101">
        <v>0</v>
      </c>
      <c r="L173" s="101">
        <v>17682</v>
      </c>
      <c r="M173" s="101">
        <v>0</v>
      </c>
      <c r="N173" s="101">
        <v>0</v>
      </c>
      <c r="O173" s="101">
        <v>0</v>
      </c>
      <c r="P173" s="101">
        <v>97812.99</v>
      </c>
      <c r="Q173" s="101">
        <v>28665.8</v>
      </c>
      <c r="R173" s="101">
        <v>12862.19</v>
      </c>
      <c r="S173" s="101">
        <v>20440</v>
      </c>
      <c r="T173" s="101">
        <v>768593.01</v>
      </c>
      <c r="U173" s="101">
        <v>848129.01</v>
      </c>
      <c r="V173" s="101">
        <v>70787</v>
      </c>
      <c r="W173" s="101">
        <v>627826.16</v>
      </c>
      <c r="X173" s="101">
        <v>359959.2</v>
      </c>
      <c r="Y173" s="101">
        <v>220302.85</v>
      </c>
      <c r="Z173" s="101">
        <v>0</v>
      </c>
      <c r="AA173" s="101">
        <v>30312</v>
      </c>
      <c r="AB173" s="101">
        <v>0</v>
      </c>
      <c r="AC173" s="101">
        <v>0</v>
      </c>
      <c r="AD173" s="101">
        <v>0</v>
      </c>
      <c r="AE173" s="101">
        <v>189990.85</v>
      </c>
      <c r="AF173" s="101">
        <v>50331.8</v>
      </c>
      <c r="AG173" s="101">
        <v>7909</v>
      </c>
      <c r="AH173" s="101">
        <v>11872</v>
      </c>
      <c r="AI173" s="101">
        <v>468196.24</v>
      </c>
      <c r="AJ173" s="101">
        <v>524992.67000000004</v>
      </c>
      <c r="AK173" s="101">
        <v>49772.02</v>
      </c>
      <c r="AL173" s="101">
        <v>407073.38</v>
      </c>
      <c r="AM173" s="101">
        <v>212900.3</v>
      </c>
      <c r="AN173" s="101">
        <v>117919.29</v>
      </c>
      <c r="AO173" s="101">
        <v>0</v>
      </c>
      <c r="AP173" s="101">
        <v>18739</v>
      </c>
      <c r="AQ173" s="101">
        <v>0</v>
      </c>
      <c r="AR173" s="101">
        <v>0</v>
      </c>
      <c r="AS173" s="101">
        <v>0</v>
      </c>
      <c r="AT173" s="101">
        <v>99180.29</v>
      </c>
      <c r="AU173" s="101">
        <v>28238.05</v>
      </c>
    </row>
    <row r="174" spans="1:47">
      <c r="A174" s="102" t="s">
        <v>758</v>
      </c>
      <c r="B174" s="102" t="s">
        <v>759</v>
      </c>
      <c r="C174" s="101">
        <v>5640</v>
      </c>
      <c r="D174" s="101">
        <v>10388</v>
      </c>
      <c r="E174" s="101">
        <v>337478.48</v>
      </c>
      <c r="F174" s="101">
        <v>857951.28</v>
      </c>
      <c r="G174" s="101">
        <v>498337.82</v>
      </c>
      <c r="H174" s="101">
        <v>723720.16</v>
      </c>
      <c r="I174" s="101">
        <v>282977.21000000002</v>
      </c>
      <c r="J174" s="101">
        <v>134231.12</v>
      </c>
      <c r="K174" s="101">
        <v>0</v>
      </c>
      <c r="L174" s="101">
        <v>8260</v>
      </c>
      <c r="M174" s="101">
        <v>0</v>
      </c>
      <c r="N174" s="101">
        <v>0</v>
      </c>
      <c r="O174" s="101">
        <v>0</v>
      </c>
      <c r="P174" s="101">
        <v>125971.12</v>
      </c>
      <c r="Q174" s="101">
        <v>26243.78</v>
      </c>
      <c r="R174" s="101">
        <v>9950</v>
      </c>
      <c r="S174" s="101">
        <v>17885</v>
      </c>
      <c r="T174" s="101">
        <v>587172.74</v>
      </c>
      <c r="U174" s="101">
        <v>1477235.61</v>
      </c>
      <c r="V174" s="101">
        <v>853098.89</v>
      </c>
      <c r="W174" s="101">
        <v>1238978.99</v>
      </c>
      <c r="X174" s="101">
        <v>488162.48</v>
      </c>
      <c r="Y174" s="101">
        <v>238256.62</v>
      </c>
      <c r="Z174" s="101">
        <v>0</v>
      </c>
      <c r="AA174" s="101">
        <v>14160</v>
      </c>
      <c r="AB174" s="101">
        <v>0</v>
      </c>
      <c r="AC174" s="101">
        <v>0</v>
      </c>
      <c r="AD174" s="101">
        <v>0</v>
      </c>
      <c r="AE174" s="101">
        <v>224096.62</v>
      </c>
      <c r="AF174" s="101">
        <v>54354.95</v>
      </c>
      <c r="AG174" s="101">
        <v>5235</v>
      </c>
      <c r="AH174" s="101">
        <v>10388</v>
      </c>
      <c r="AI174" s="101">
        <v>308824.09000000003</v>
      </c>
      <c r="AJ174" s="101">
        <v>764664.43</v>
      </c>
      <c r="AK174" s="101">
        <v>430572.3</v>
      </c>
      <c r="AL174" s="101">
        <v>669950.23</v>
      </c>
      <c r="AM174" s="101">
        <v>249026.55</v>
      </c>
      <c r="AN174" s="101">
        <v>94714.2</v>
      </c>
      <c r="AO174" s="101">
        <v>0</v>
      </c>
      <c r="AP174" s="101">
        <v>11596.8</v>
      </c>
      <c r="AQ174" s="101">
        <v>0</v>
      </c>
      <c r="AR174" s="101">
        <v>0</v>
      </c>
      <c r="AS174" s="101">
        <v>0</v>
      </c>
      <c r="AT174" s="101">
        <v>83117.399999999994</v>
      </c>
      <c r="AU174" s="101">
        <v>35485.949999999997</v>
      </c>
    </row>
    <row r="175" spans="1:47">
      <c r="A175" s="102" t="s">
        <v>904</v>
      </c>
      <c r="B175" s="102" t="e">
        <v>#N/A</v>
      </c>
      <c r="C175" s="101">
        <v>12985.19</v>
      </c>
      <c r="D175" s="101">
        <v>22260</v>
      </c>
      <c r="E175" s="101">
        <v>777354.48</v>
      </c>
      <c r="F175" s="101">
        <v>1340535.28</v>
      </c>
      <c r="G175" s="101">
        <v>535838.81999999995</v>
      </c>
      <c r="H175" s="101">
        <v>1090809.17</v>
      </c>
      <c r="I175" s="101">
        <v>492953.41</v>
      </c>
      <c r="J175" s="101">
        <v>249726.11</v>
      </c>
      <c r="K175" s="101">
        <v>0</v>
      </c>
      <c r="L175" s="101">
        <v>25942</v>
      </c>
      <c r="M175" s="101">
        <v>0</v>
      </c>
      <c r="N175" s="101">
        <v>0</v>
      </c>
      <c r="O175" s="101">
        <v>0</v>
      </c>
      <c r="P175" s="101">
        <v>223784.11</v>
      </c>
      <c r="Q175" s="101">
        <v>54909.58</v>
      </c>
      <c r="R175" s="101">
        <v>22812.19</v>
      </c>
      <c r="S175" s="101">
        <v>38325</v>
      </c>
      <c r="T175" s="101">
        <v>1355765.75</v>
      </c>
      <c r="U175" s="101">
        <v>2325364.62</v>
      </c>
      <c r="V175" s="101">
        <v>923885.89</v>
      </c>
      <c r="W175" s="101">
        <v>1866805.15</v>
      </c>
      <c r="X175" s="101">
        <v>848121.68</v>
      </c>
      <c r="Y175" s="101">
        <v>458559.47</v>
      </c>
      <c r="Z175" s="101">
        <v>0</v>
      </c>
      <c r="AA175" s="101">
        <v>44472</v>
      </c>
      <c r="AB175" s="101">
        <v>0</v>
      </c>
      <c r="AC175" s="101">
        <v>0</v>
      </c>
      <c r="AD175" s="101">
        <v>0</v>
      </c>
      <c r="AE175" s="101">
        <v>414087.47</v>
      </c>
      <c r="AF175" s="101">
        <v>104686.75</v>
      </c>
      <c r="AG175" s="101">
        <v>13144</v>
      </c>
      <c r="AH175" s="101">
        <v>22260</v>
      </c>
      <c r="AI175" s="101">
        <v>777020.33</v>
      </c>
      <c r="AJ175" s="101">
        <v>1289657.1000000001</v>
      </c>
      <c r="AK175" s="101">
        <v>480344.32000000001</v>
      </c>
      <c r="AL175" s="101">
        <v>1077023.6100000001</v>
      </c>
      <c r="AM175" s="101">
        <v>461926.85</v>
      </c>
      <c r="AN175" s="101">
        <v>212633.49</v>
      </c>
      <c r="AO175" s="101">
        <v>0</v>
      </c>
      <c r="AP175" s="101">
        <v>30335.8</v>
      </c>
      <c r="AQ175" s="101">
        <v>0</v>
      </c>
      <c r="AR175" s="101">
        <v>0</v>
      </c>
      <c r="AS175" s="101">
        <v>0</v>
      </c>
      <c r="AT175" s="101">
        <v>182297.69</v>
      </c>
      <c r="AU175" s="101">
        <v>63724</v>
      </c>
    </row>
    <row r="176" spans="1:47">
      <c r="A176" s="102" t="s">
        <v>750</v>
      </c>
      <c r="B176" s="102" t="s">
        <v>751</v>
      </c>
      <c r="C176" s="101">
        <v>11126</v>
      </c>
      <c r="D176" s="101">
        <v>20564</v>
      </c>
      <c r="E176" s="101">
        <v>550465.88</v>
      </c>
      <c r="F176" s="101">
        <v>683764.12</v>
      </c>
      <c r="G176" s="101">
        <v>98483.8</v>
      </c>
      <c r="H176" s="101">
        <v>555914.18000000005</v>
      </c>
      <c r="I176" s="101">
        <v>184540.86</v>
      </c>
      <c r="J176" s="101">
        <v>127849.94</v>
      </c>
      <c r="K176" s="101">
        <v>8498</v>
      </c>
      <c r="L176" s="101">
        <v>21700</v>
      </c>
      <c r="M176" s="101">
        <v>0</v>
      </c>
      <c r="N176" s="101">
        <v>0</v>
      </c>
      <c r="O176" s="101">
        <v>0</v>
      </c>
      <c r="P176" s="101">
        <v>97651.94</v>
      </c>
      <c r="Q176" s="101">
        <v>36299</v>
      </c>
      <c r="R176" s="101">
        <v>20559</v>
      </c>
      <c r="S176" s="101">
        <v>35405</v>
      </c>
      <c r="T176" s="101">
        <v>1036034.77</v>
      </c>
      <c r="U176" s="101">
        <v>1277210.01</v>
      </c>
      <c r="V176" s="101">
        <v>187480.8</v>
      </c>
      <c r="W176" s="101">
        <v>975388.82</v>
      </c>
      <c r="X176" s="101">
        <v>312546.76</v>
      </c>
      <c r="Y176" s="101">
        <v>301821.19</v>
      </c>
      <c r="Z176" s="101">
        <v>11690</v>
      </c>
      <c r="AA176" s="101">
        <v>37200</v>
      </c>
      <c r="AB176" s="101">
        <v>0</v>
      </c>
      <c r="AC176" s="101">
        <v>0</v>
      </c>
      <c r="AD176" s="101">
        <v>0</v>
      </c>
      <c r="AE176" s="101">
        <v>252931.19</v>
      </c>
      <c r="AF176" s="101">
        <v>72215</v>
      </c>
      <c r="AG176" s="101">
        <v>10853</v>
      </c>
      <c r="AH176" s="101">
        <v>20564</v>
      </c>
      <c r="AI176" s="101">
        <v>549392.68999999994</v>
      </c>
      <c r="AJ176" s="101">
        <v>693277.75</v>
      </c>
      <c r="AK176" s="101">
        <v>106716.08</v>
      </c>
      <c r="AL176" s="101">
        <v>702183.15</v>
      </c>
      <c r="AM176" s="101">
        <v>145039.57</v>
      </c>
      <c r="AN176" s="101">
        <v>-8905.4</v>
      </c>
      <c r="AO176" s="101">
        <v>0</v>
      </c>
      <c r="AP176" s="101">
        <v>20776</v>
      </c>
      <c r="AQ176" s="101">
        <v>0</v>
      </c>
      <c r="AR176" s="101">
        <v>0</v>
      </c>
      <c r="AS176" s="101">
        <v>0</v>
      </c>
      <c r="AT176" s="101">
        <v>-29681.4</v>
      </c>
      <c r="AU176" s="101">
        <v>27549.919999999998</v>
      </c>
    </row>
    <row r="177" spans="1:47">
      <c r="A177" s="102" t="s">
        <v>699</v>
      </c>
      <c r="B177" s="102" t="s">
        <v>700</v>
      </c>
      <c r="C177" s="101">
        <v>0</v>
      </c>
      <c r="D177" s="101">
        <v>0</v>
      </c>
      <c r="E177" s="101">
        <v>0</v>
      </c>
      <c r="F177" s="101">
        <v>0</v>
      </c>
      <c r="G177" s="101">
        <v>0</v>
      </c>
      <c r="H177" s="101">
        <v>0</v>
      </c>
      <c r="I177" s="101">
        <v>0</v>
      </c>
      <c r="J177" s="101">
        <v>0</v>
      </c>
      <c r="K177" s="101">
        <v>0</v>
      </c>
      <c r="L177" s="101">
        <v>0</v>
      </c>
      <c r="M177" s="101">
        <v>0</v>
      </c>
      <c r="N177" s="101">
        <v>0</v>
      </c>
      <c r="O177" s="101">
        <v>0</v>
      </c>
      <c r="P177" s="101">
        <v>0</v>
      </c>
      <c r="Q177" s="101">
        <v>0</v>
      </c>
      <c r="R177" s="101">
        <v>0</v>
      </c>
      <c r="S177" s="101">
        <v>0</v>
      </c>
      <c r="T177" s="101">
        <v>0</v>
      </c>
      <c r="U177" s="101">
        <v>0</v>
      </c>
      <c r="V177" s="101">
        <v>0</v>
      </c>
      <c r="W177" s="101">
        <v>0</v>
      </c>
      <c r="X177" s="101">
        <v>0</v>
      </c>
      <c r="Y177" s="101">
        <v>0</v>
      </c>
      <c r="Z177" s="101">
        <v>0</v>
      </c>
      <c r="AA177" s="101">
        <v>0</v>
      </c>
      <c r="AB177" s="101">
        <v>0</v>
      </c>
      <c r="AC177" s="101">
        <v>0</v>
      </c>
      <c r="AD177" s="101">
        <v>0</v>
      </c>
      <c r="AE177" s="101">
        <v>0</v>
      </c>
      <c r="AF177" s="101">
        <v>0</v>
      </c>
      <c r="AG177" s="101">
        <v>12565</v>
      </c>
      <c r="AH177" s="101">
        <v>15052</v>
      </c>
      <c r="AI177" s="101">
        <v>704712.92</v>
      </c>
      <c r="AJ177" s="101">
        <v>860277.21</v>
      </c>
      <c r="AK177" s="101">
        <v>98087.27</v>
      </c>
      <c r="AL177" s="101">
        <v>591250.97</v>
      </c>
      <c r="AM177" s="101">
        <v>383336.52</v>
      </c>
      <c r="AN177" s="101">
        <v>269026.24</v>
      </c>
      <c r="AO177" s="101">
        <v>9495.5400000000009</v>
      </c>
      <c r="AP177" s="101">
        <v>8204.41</v>
      </c>
      <c r="AQ177" s="101">
        <v>0</v>
      </c>
      <c r="AR177" s="101">
        <v>0</v>
      </c>
      <c r="AS177" s="101">
        <v>0</v>
      </c>
      <c r="AT177" s="101">
        <v>251326.29</v>
      </c>
      <c r="AU177" s="101">
        <v>37221.79</v>
      </c>
    </row>
    <row r="178" spans="1:47">
      <c r="A178" s="102" t="s">
        <v>729</v>
      </c>
      <c r="B178" s="102" t="s">
        <v>730</v>
      </c>
      <c r="C178" s="101">
        <v>16671</v>
      </c>
      <c r="D178" s="101">
        <v>22896</v>
      </c>
      <c r="E178" s="101">
        <v>973760.3</v>
      </c>
      <c r="F178" s="101">
        <v>1456520.3</v>
      </c>
      <c r="G178" s="101">
        <v>383934</v>
      </c>
      <c r="H178" s="101">
        <v>939780.07</v>
      </c>
      <c r="I178" s="101">
        <v>384573.82</v>
      </c>
      <c r="J178" s="101">
        <v>516740.23</v>
      </c>
      <c r="K178" s="101">
        <v>0</v>
      </c>
      <c r="L178" s="101">
        <v>25375</v>
      </c>
      <c r="M178" s="101">
        <v>0</v>
      </c>
      <c r="N178" s="101">
        <v>0</v>
      </c>
      <c r="O178" s="101">
        <v>0</v>
      </c>
      <c r="P178" s="101">
        <v>491365.23</v>
      </c>
      <c r="Q178" s="101">
        <v>66754</v>
      </c>
      <c r="R178" s="101">
        <v>29439</v>
      </c>
      <c r="S178" s="101">
        <v>39420</v>
      </c>
      <c r="T178" s="101">
        <v>1765895.5</v>
      </c>
      <c r="U178" s="101">
        <v>2612843.5</v>
      </c>
      <c r="V178" s="101">
        <v>687517</v>
      </c>
      <c r="W178" s="101">
        <v>1622593.07</v>
      </c>
      <c r="X178" s="101">
        <v>659268.81999999995</v>
      </c>
      <c r="Y178" s="101">
        <v>990250.43</v>
      </c>
      <c r="Z178" s="101">
        <v>0</v>
      </c>
      <c r="AA178" s="101">
        <v>43500</v>
      </c>
      <c r="AB178" s="101">
        <v>0</v>
      </c>
      <c r="AC178" s="101">
        <v>0</v>
      </c>
      <c r="AD178" s="101">
        <v>0</v>
      </c>
      <c r="AE178" s="101">
        <v>946750.43</v>
      </c>
      <c r="AF178" s="101">
        <v>119097</v>
      </c>
      <c r="AG178" s="101">
        <v>18156</v>
      </c>
      <c r="AH178" s="101">
        <v>22896</v>
      </c>
      <c r="AI178" s="101">
        <v>1002193.09</v>
      </c>
      <c r="AJ178" s="101">
        <v>1445612.14</v>
      </c>
      <c r="AK178" s="101">
        <v>342459.82</v>
      </c>
      <c r="AL178" s="101">
        <v>945463.33</v>
      </c>
      <c r="AM178" s="101">
        <v>386746.95</v>
      </c>
      <c r="AN178" s="101">
        <v>500148.81</v>
      </c>
      <c r="AO178" s="101">
        <v>0</v>
      </c>
      <c r="AP178" s="101">
        <v>25359.599999999999</v>
      </c>
      <c r="AQ178" s="101">
        <v>0</v>
      </c>
      <c r="AR178" s="101">
        <v>0</v>
      </c>
      <c r="AS178" s="101">
        <v>0</v>
      </c>
      <c r="AT178" s="101">
        <v>474789.21</v>
      </c>
      <c r="AU178" s="101">
        <v>66191.81</v>
      </c>
    </row>
    <row r="179" spans="1:47">
      <c r="A179" s="102" t="s">
        <v>1035</v>
      </c>
      <c r="B179" s="102" t="e">
        <v>#N/A</v>
      </c>
      <c r="C179" s="101">
        <v>13071</v>
      </c>
      <c r="D179" s="101">
        <v>23320</v>
      </c>
      <c r="E179" s="101">
        <v>945230.28</v>
      </c>
      <c r="F179" s="101">
        <v>2335120.2800000012</v>
      </c>
      <c r="G179" s="101">
        <v>1226170</v>
      </c>
      <c r="H179" s="101">
        <v>1745666.08</v>
      </c>
      <c r="I179" s="101">
        <v>547213</v>
      </c>
      <c r="J179" s="101">
        <v>589454.19999999995</v>
      </c>
      <c r="K179" s="101">
        <v>0</v>
      </c>
      <c r="L179" s="101">
        <v>36400</v>
      </c>
      <c r="M179" s="101">
        <v>0</v>
      </c>
      <c r="N179" s="101">
        <v>0</v>
      </c>
      <c r="O179" s="101">
        <v>0</v>
      </c>
      <c r="P179" s="101">
        <v>553054.19999999995</v>
      </c>
      <c r="Q179" s="101">
        <v>109609.5</v>
      </c>
      <c r="R179" s="101">
        <v>23765</v>
      </c>
      <c r="S179" s="101">
        <v>40150</v>
      </c>
      <c r="T179" s="101">
        <v>1721229.28</v>
      </c>
      <c r="U179" s="101">
        <v>4334904.2800000012</v>
      </c>
      <c r="V179" s="101">
        <v>2340470</v>
      </c>
      <c r="W179" s="101">
        <v>3129521.99</v>
      </c>
      <c r="X179" s="101">
        <v>943898</v>
      </c>
      <c r="Y179" s="101">
        <v>1205382.29</v>
      </c>
      <c r="Z179" s="101">
        <v>0</v>
      </c>
      <c r="AA179" s="101">
        <v>62400</v>
      </c>
      <c r="AB179" s="101">
        <v>0</v>
      </c>
      <c r="AC179" s="101">
        <v>0</v>
      </c>
      <c r="AD179" s="101">
        <v>0</v>
      </c>
      <c r="AE179" s="101">
        <v>1142982.29</v>
      </c>
      <c r="AF179" s="101">
        <v>219902</v>
      </c>
      <c r="AG179" s="101">
        <v>12774</v>
      </c>
      <c r="AH179" s="101">
        <v>23320</v>
      </c>
      <c r="AI179" s="101">
        <v>889128.29</v>
      </c>
      <c r="AJ179" s="101">
        <v>2044599.12</v>
      </c>
      <c r="AK179" s="101">
        <v>1024907.28</v>
      </c>
      <c r="AL179" s="101">
        <v>1656662.99</v>
      </c>
      <c r="AM179" s="101">
        <v>513401.23</v>
      </c>
      <c r="AN179" s="101">
        <v>387936.13</v>
      </c>
      <c r="AO179" s="101">
        <v>0</v>
      </c>
      <c r="AP179" s="101">
        <v>36990.99</v>
      </c>
      <c r="AQ179" s="101">
        <v>0</v>
      </c>
      <c r="AR179" s="101">
        <v>0</v>
      </c>
      <c r="AS179" s="101">
        <v>0</v>
      </c>
      <c r="AT179" s="101">
        <v>350945.14</v>
      </c>
      <c r="AU179" s="101">
        <v>96886.96</v>
      </c>
    </row>
    <row r="180" spans="1:47">
      <c r="A180" s="102" t="s">
        <v>791</v>
      </c>
      <c r="B180" s="102" t="s">
        <v>792</v>
      </c>
      <c r="C180" s="101">
        <v>0</v>
      </c>
      <c r="D180" s="101">
        <v>0</v>
      </c>
      <c r="E180" s="101">
        <v>0</v>
      </c>
      <c r="F180" s="101">
        <v>0</v>
      </c>
      <c r="G180" s="101">
        <v>0</v>
      </c>
      <c r="H180" s="101">
        <v>0</v>
      </c>
      <c r="I180" s="101">
        <v>0</v>
      </c>
      <c r="J180" s="101">
        <v>0</v>
      </c>
      <c r="K180" s="101">
        <v>0</v>
      </c>
      <c r="L180" s="101">
        <v>0</v>
      </c>
      <c r="M180" s="101">
        <v>0</v>
      </c>
      <c r="N180" s="101">
        <v>0</v>
      </c>
      <c r="O180" s="101">
        <v>0</v>
      </c>
      <c r="P180" s="101">
        <v>0</v>
      </c>
      <c r="Q180" s="101">
        <v>0</v>
      </c>
      <c r="R180" s="101">
        <v>0</v>
      </c>
      <c r="S180" s="101">
        <v>0</v>
      </c>
      <c r="T180" s="101">
        <v>0</v>
      </c>
      <c r="U180" s="101">
        <v>0</v>
      </c>
      <c r="V180" s="101">
        <v>0</v>
      </c>
      <c r="W180" s="101">
        <v>0</v>
      </c>
      <c r="X180" s="101">
        <v>0</v>
      </c>
      <c r="Y180" s="101">
        <v>0</v>
      </c>
      <c r="Z180" s="101">
        <v>0</v>
      </c>
      <c r="AA180" s="101">
        <v>0</v>
      </c>
      <c r="AB180" s="101">
        <v>0</v>
      </c>
      <c r="AC180" s="101">
        <v>0</v>
      </c>
      <c r="AD180" s="101">
        <v>0</v>
      </c>
      <c r="AE180" s="101">
        <v>0</v>
      </c>
      <c r="AF180" s="101">
        <v>0</v>
      </c>
      <c r="AG180" s="101">
        <v>256</v>
      </c>
      <c r="AH180" s="101">
        <v>9116</v>
      </c>
      <c r="AI180" s="101">
        <v>12322.05</v>
      </c>
      <c r="AJ180" s="101">
        <v>14757.9</v>
      </c>
      <c r="AK180" s="101">
        <v>1596.87</v>
      </c>
      <c r="AL180" s="101">
        <v>2588.67</v>
      </c>
      <c r="AM180" s="101">
        <v>0</v>
      </c>
      <c r="AN180" s="101">
        <v>12169.23</v>
      </c>
      <c r="AO180" s="101">
        <v>0</v>
      </c>
      <c r="AP180" s="101">
        <v>0</v>
      </c>
      <c r="AQ180" s="101">
        <v>0</v>
      </c>
      <c r="AR180" s="101">
        <v>0</v>
      </c>
      <c r="AS180" s="101">
        <v>0</v>
      </c>
      <c r="AT180" s="101">
        <v>12169.23</v>
      </c>
      <c r="AU180" s="101">
        <v>879.13</v>
      </c>
    </row>
    <row r="181" spans="1:47">
      <c r="A181" s="102" t="s">
        <v>738</v>
      </c>
      <c r="B181" s="102" t="s">
        <v>739</v>
      </c>
      <c r="C181" s="101">
        <v>10139</v>
      </c>
      <c r="D181" s="101">
        <v>14840</v>
      </c>
      <c r="E181" s="101">
        <v>689443.95</v>
      </c>
      <c r="F181" s="101">
        <v>1025135.06</v>
      </c>
      <c r="G181" s="101">
        <v>176187.76</v>
      </c>
      <c r="H181" s="101">
        <v>600519.71</v>
      </c>
      <c r="I181" s="101">
        <v>278822.34999999998</v>
      </c>
      <c r="J181" s="101">
        <v>424615.35</v>
      </c>
      <c r="K181" s="101">
        <v>0</v>
      </c>
      <c r="L181" s="101">
        <v>16667</v>
      </c>
      <c r="M181" s="101">
        <v>0</v>
      </c>
      <c r="N181" s="101">
        <v>0</v>
      </c>
      <c r="O181" s="101">
        <v>0</v>
      </c>
      <c r="P181" s="101">
        <v>407948.35</v>
      </c>
      <c r="Q181" s="101">
        <v>47382.54</v>
      </c>
      <c r="R181" s="101">
        <v>17913</v>
      </c>
      <c r="S181" s="101">
        <v>25550</v>
      </c>
      <c r="T181" s="101">
        <v>1297342.47</v>
      </c>
      <c r="U181" s="101">
        <v>1884628.58</v>
      </c>
      <c r="V181" s="101">
        <v>295779.65000000002</v>
      </c>
      <c r="W181" s="101">
        <v>1033782.22</v>
      </c>
      <c r="X181" s="101">
        <v>479188.1</v>
      </c>
      <c r="Y181" s="101">
        <v>850846.36</v>
      </c>
      <c r="Z181" s="101">
        <v>0</v>
      </c>
      <c r="AA181" s="101">
        <v>28572</v>
      </c>
      <c r="AB181" s="101">
        <v>0</v>
      </c>
      <c r="AC181" s="101">
        <v>0</v>
      </c>
      <c r="AD181" s="101">
        <v>0</v>
      </c>
      <c r="AE181" s="101">
        <v>822274.36</v>
      </c>
      <c r="AF181" s="101">
        <v>135010.5</v>
      </c>
      <c r="AG181" s="101">
        <v>10604</v>
      </c>
      <c r="AH181" s="101">
        <v>14840</v>
      </c>
      <c r="AI181" s="101">
        <v>731303.83</v>
      </c>
      <c r="AJ181" s="101">
        <v>1050143.3</v>
      </c>
      <c r="AK181" s="101">
        <v>110263.03999999999</v>
      </c>
      <c r="AL181" s="101">
        <v>602501.43999999994</v>
      </c>
      <c r="AM181" s="101">
        <v>299439.86</v>
      </c>
      <c r="AN181" s="101">
        <v>447641.86</v>
      </c>
      <c r="AO181" s="101">
        <v>0</v>
      </c>
      <c r="AP181" s="101">
        <v>16114</v>
      </c>
      <c r="AQ181" s="101">
        <v>0</v>
      </c>
      <c r="AR181" s="101">
        <v>0</v>
      </c>
      <c r="AS181" s="101">
        <v>0</v>
      </c>
      <c r="AT181" s="101">
        <v>431527.86</v>
      </c>
      <c r="AU181" s="101">
        <v>87914.74</v>
      </c>
    </row>
    <row r="182" spans="1:47">
      <c r="A182" s="102" t="s">
        <v>744</v>
      </c>
      <c r="B182" s="102" t="s">
        <v>745</v>
      </c>
      <c r="C182" s="101">
        <v>0</v>
      </c>
      <c r="D182" s="101">
        <v>0</v>
      </c>
      <c r="E182" s="101">
        <v>0</v>
      </c>
      <c r="F182" s="101">
        <v>0</v>
      </c>
      <c r="G182" s="101">
        <v>0</v>
      </c>
      <c r="H182" s="101">
        <v>0</v>
      </c>
      <c r="I182" s="101">
        <v>0</v>
      </c>
      <c r="J182" s="101">
        <v>0</v>
      </c>
      <c r="K182" s="101">
        <v>0</v>
      </c>
      <c r="L182" s="101">
        <v>0</v>
      </c>
      <c r="M182" s="101">
        <v>0</v>
      </c>
      <c r="N182" s="101">
        <v>0</v>
      </c>
      <c r="O182" s="101">
        <v>0</v>
      </c>
      <c r="P182" s="101">
        <v>0</v>
      </c>
      <c r="Q182" s="101">
        <v>0</v>
      </c>
      <c r="R182" s="101">
        <v>0</v>
      </c>
      <c r="S182" s="101">
        <v>0</v>
      </c>
      <c r="T182" s="101">
        <v>0</v>
      </c>
      <c r="U182" s="101">
        <v>0</v>
      </c>
      <c r="V182" s="101">
        <v>0</v>
      </c>
      <c r="W182" s="101">
        <v>0</v>
      </c>
      <c r="X182" s="101">
        <v>0</v>
      </c>
      <c r="Y182" s="101">
        <v>0</v>
      </c>
      <c r="Z182" s="101">
        <v>0</v>
      </c>
      <c r="AA182" s="101">
        <v>0</v>
      </c>
      <c r="AB182" s="101">
        <v>0</v>
      </c>
      <c r="AC182" s="101">
        <v>0</v>
      </c>
      <c r="AD182" s="101">
        <v>0</v>
      </c>
      <c r="AE182" s="101">
        <v>0</v>
      </c>
      <c r="AF182" s="101">
        <v>0</v>
      </c>
      <c r="AG182" s="101">
        <v>14751</v>
      </c>
      <c r="AH182" s="101">
        <v>25440</v>
      </c>
      <c r="AI182" s="101">
        <v>756203.28</v>
      </c>
      <c r="AJ182" s="101">
        <v>1037268.75</v>
      </c>
      <c r="AK182" s="101">
        <v>252211.37</v>
      </c>
      <c r="AL182" s="101">
        <v>665840.88</v>
      </c>
      <c r="AM182" s="101">
        <v>271598.96000000002</v>
      </c>
      <c r="AN182" s="101">
        <v>371427.87</v>
      </c>
      <c r="AO182" s="101">
        <v>0</v>
      </c>
      <c r="AP182" s="101">
        <v>0</v>
      </c>
      <c r="AQ182" s="101">
        <v>0</v>
      </c>
      <c r="AR182" s="101">
        <v>0</v>
      </c>
      <c r="AS182" s="101">
        <v>0</v>
      </c>
      <c r="AT182" s="101">
        <v>371427.87</v>
      </c>
      <c r="AU182" s="101">
        <v>45449.65</v>
      </c>
    </row>
    <row r="183" spans="1:47">
      <c r="A183" s="102" t="s">
        <v>905</v>
      </c>
      <c r="B183" s="102" t="e">
        <v>#N/A</v>
      </c>
      <c r="C183" s="101">
        <v>51007</v>
      </c>
      <c r="D183" s="101">
        <v>81620</v>
      </c>
      <c r="E183" s="101">
        <v>3158900.41</v>
      </c>
      <c r="F183" s="101">
        <v>5500539.7600000007</v>
      </c>
      <c r="G183" s="101">
        <v>1884775.56</v>
      </c>
      <c r="H183" s="101">
        <v>3841880.040000001</v>
      </c>
      <c r="I183" s="101">
        <v>1395150.03</v>
      </c>
      <c r="J183" s="101">
        <v>1658659.72</v>
      </c>
      <c r="K183" s="101">
        <v>8498</v>
      </c>
      <c r="L183" s="101">
        <v>100142</v>
      </c>
      <c r="M183" s="101">
        <v>0</v>
      </c>
      <c r="N183" s="101">
        <v>0</v>
      </c>
      <c r="O183" s="101">
        <v>0</v>
      </c>
      <c r="P183" s="101">
        <v>1550019.72</v>
      </c>
      <c r="Q183" s="101">
        <v>260045.04</v>
      </c>
      <c r="R183" s="101">
        <v>91676</v>
      </c>
      <c r="S183" s="101">
        <v>140525</v>
      </c>
      <c r="T183" s="101">
        <v>5820502.0199999996</v>
      </c>
      <c r="U183" s="101">
        <v>10109586.370000003</v>
      </c>
      <c r="V183" s="101">
        <v>3511247.45</v>
      </c>
      <c r="W183" s="101">
        <v>6761286.1000000006</v>
      </c>
      <c r="X183" s="101">
        <v>2394901.6800000002</v>
      </c>
      <c r="Y183" s="101">
        <v>3348300.27</v>
      </c>
      <c r="Z183" s="101">
        <v>11690</v>
      </c>
      <c r="AA183" s="101">
        <v>171672</v>
      </c>
      <c r="AB183" s="101">
        <v>0</v>
      </c>
      <c r="AC183" s="101">
        <v>0</v>
      </c>
      <c r="AD183" s="101">
        <v>0</v>
      </c>
      <c r="AE183" s="101">
        <v>3164938.27</v>
      </c>
      <c r="AF183" s="101">
        <v>546224.5</v>
      </c>
      <c r="AG183" s="101">
        <v>79959</v>
      </c>
      <c r="AH183" s="101">
        <v>131228</v>
      </c>
      <c r="AI183" s="101">
        <v>4645256.1500000013</v>
      </c>
      <c r="AJ183" s="101">
        <v>7145936.1700000009</v>
      </c>
      <c r="AK183" s="101">
        <v>1936241.73</v>
      </c>
      <c r="AL183" s="101">
        <v>5166491.43</v>
      </c>
      <c r="AM183" s="101">
        <v>1999563.09</v>
      </c>
      <c r="AN183" s="101">
        <v>1979444.74</v>
      </c>
      <c r="AO183" s="101">
        <v>9495.5400000000009</v>
      </c>
      <c r="AP183" s="101">
        <v>107445</v>
      </c>
      <c r="AQ183" s="101">
        <v>0</v>
      </c>
      <c r="AR183" s="101">
        <v>0</v>
      </c>
      <c r="AS183" s="101">
        <v>0</v>
      </c>
      <c r="AT183" s="101">
        <v>1862504.2</v>
      </c>
      <c r="AU183" s="101">
        <v>362094</v>
      </c>
    </row>
    <row r="184" spans="1:47">
      <c r="A184" s="102" t="s">
        <v>906</v>
      </c>
      <c r="B184" s="102" t="e">
        <v>#N/A</v>
      </c>
      <c r="C184" s="101">
        <v>0</v>
      </c>
      <c r="D184" s="101">
        <v>0</v>
      </c>
      <c r="E184" s="101">
        <v>0</v>
      </c>
      <c r="F184" s="101">
        <v>0</v>
      </c>
      <c r="G184" s="101">
        <v>0</v>
      </c>
      <c r="H184" s="101">
        <v>0</v>
      </c>
      <c r="I184" s="101">
        <v>0</v>
      </c>
      <c r="J184" s="101">
        <v>0</v>
      </c>
      <c r="K184" s="101">
        <v>0</v>
      </c>
      <c r="L184" s="101">
        <v>0</v>
      </c>
      <c r="M184" s="101">
        <v>0</v>
      </c>
      <c r="N184" s="101">
        <v>0</v>
      </c>
      <c r="O184" s="101">
        <v>0</v>
      </c>
      <c r="P184" s="101">
        <v>0</v>
      </c>
      <c r="Q184" s="101">
        <v>0</v>
      </c>
      <c r="R184" s="101">
        <v>0</v>
      </c>
      <c r="S184" s="101">
        <v>0</v>
      </c>
      <c r="T184" s="101">
        <v>0</v>
      </c>
      <c r="U184" s="101">
        <v>0</v>
      </c>
      <c r="V184" s="101">
        <v>0</v>
      </c>
      <c r="W184" s="101">
        <v>0</v>
      </c>
      <c r="X184" s="101">
        <v>0</v>
      </c>
      <c r="Y184" s="101">
        <v>0</v>
      </c>
      <c r="Z184" s="101">
        <v>0</v>
      </c>
      <c r="AA184" s="101">
        <v>0</v>
      </c>
      <c r="AB184" s="101">
        <v>0</v>
      </c>
      <c r="AC184" s="101">
        <v>0</v>
      </c>
      <c r="AD184" s="101">
        <v>0</v>
      </c>
      <c r="AE184" s="101">
        <v>0</v>
      </c>
      <c r="AF184" s="101">
        <v>0</v>
      </c>
      <c r="AG184" s="101">
        <v>10404</v>
      </c>
      <c r="AH184" s="101">
        <v>0</v>
      </c>
      <c r="AI184" s="101">
        <v>559028.36</v>
      </c>
      <c r="AJ184" s="101">
        <v>667848.13</v>
      </c>
      <c r="AK184" s="101">
        <v>69614.69</v>
      </c>
      <c r="AL184" s="101">
        <v>279849.61</v>
      </c>
      <c r="AM184" s="101">
        <v>159143.78</v>
      </c>
      <c r="AN184" s="101">
        <v>387998.52</v>
      </c>
      <c r="AO184" s="101">
        <v>0</v>
      </c>
      <c r="AP184" s="101">
        <v>19634.54</v>
      </c>
      <c r="AQ184" s="101">
        <v>0</v>
      </c>
      <c r="AR184" s="101">
        <v>0</v>
      </c>
      <c r="AS184" s="101">
        <v>0</v>
      </c>
      <c r="AT184" s="101">
        <v>368363.98</v>
      </c>
      <c r="AU184" s="101">
        <v>8408.48</v>
      </c>
    </row>
    <row r="185" spans="1:47">
      <c r="A185" s="102" t="s">
        <v>727</v>
      </c>
      <c r="B185" s="102" t="s">
        <v>728</v>
      </c>
      <c r="C185" s="101">
        <v>5655</v>
      </c>
      <c r="D185" s="101">
        <v>10600</v>
      </c>
      <c r="E185" s="101">
        <v>336348.6</v>
      </c>
      <c r="F185" s="101">
        <v>462778.6</v>
      </c>
      <c r="G185" s="101">
        <v>111716</v>
      </c>
      <c r="H185" s="101">
        <v>403410.04</v>
      </c>
      <c r="I185" s="101">
        <v>184196.73</v>
      </c>
      <c r="J185" s="101">
        <v>59368.56</v>
      </c>
      <c r="K185" s="101">
        <v>0</v>
      </c>
      <c r="L185" s="101">
        <v>0</v>
      </c>
      <c r="M185" s="101">
        <v>0</v>
      </c>
      <c r="N185" s="101">
        <v>0</v>
      </c>
      <c r="O185" s="101">
        <v>0</v>
      </c>
      <c r="P185" s="101">
        <v>59368.56</v>
      </c>
      <c r="Q185" s="101">
        <v>37482.94</v>
      </c>
      <c r="R185" s="101">
        <v>9924</v>
      </c>
      <c r="S185" s="101">
        <v>18250</v>
      </c>
      <c r="T185" s="101">
        <v>578666.5</v>
      </c>
      <c r="U185" s="101">
        <v>798919.5</v>
      </c>
      <c r="V185" s="101">
        <v>195838</v>
      </c>
      <c r="W185" s="101">
        <v>690649.04</v>
      </c>
      <c r="X185" s="101">
        <v>320185.73</v>
      </c>
      <c r="Y185" s="101">
        <v>108270.46</v>
      </c>
      <c r="Z185" s="101">
        <v>0</v>
      </c>
      <c r="AA185" s="101">
        <v>0</v>
      </c>
      <c r="AB185" s="101">
        <v>0</v>
      </c>
      <c r="AC185" s="101">
        <v>0</v>
      </c>
      <c r="AD185" s="101">
        <v>0</v>
      </c>
      <c r="AE185" s="101">
        <v>108270.46</v>
      </c>
      <c r="AF185" s="101">
        <v>64766.559999999998</v>
      </c>
      <c r="AG185" s="101">
        <v>5067</v>
      </c>
      <c r="AH185" s="101">
        <v>10600</v>
      </c>
      <c r="AI185" s="101">
        <v>295860.56</v>
      </c>
      <c r="AJ185" s="101">
        <v>411936.68</v>
      </c>
      <c r="AK185" s="101">
        <v>104888.82</v>
      </c>
      <c r="AL185" s="101">
        <v>400205.21</v>
      </c>
      <c r="AM185" s="101">
        <v>181109.9</v>
      </c>
      <c r="AN185" s="101">
        <v>11731.47</v>
      </c>
      <c r="AO185" s="101">
        <v>0</v>
      </c>
      <c r="AP185" s="101">
        <v>0</v>
      </c>
      <c r="AQ185" s="101">
        <v>0</v>
      </c>
      <c r="AR185" s="101">
        <v>0</v>
      </c>
      <c r="AS185" s="101">
        <v>0</v>
      </c>
      <c r="AT185" s="101">
        <v>11731.47</v>
      </c>
      <c r="AU185" s="101">
        <v>32200.49</v>
      </c>
    </row>
    <row r="186" spans="1:47">
      <c r="A186" s="102" t="s">
        <v>907</v>
      </c>
      <c r="B186" s="102" t="e">
        <v>#N/A</v>
      </c>
      <c r="C186" s="101">
        <v>7308</v>
      </c>
      <c r="D186" s="101">
        <v>12720</v>
      </c>
      <c r="E186" s="101">
        <v>346568.9</v>
      </c>
      <c r="F186" s="101">
        <v>496283.9</v>
      </c>
      <c r="G186" s="101">
        <v>88424</v>
      </c>
      <c r="H186" s="101">
        <v>344920.02</v>
      </c>
      <c r="I186" s="101">
        <v>183978.48</v>
      </c>
      <c r="J186" s="101">
        <v>151363.88</v>
      </c>
      <c r="K186" s="101">
        <v>3200</v>
      </c>
      <c r="L186" s="101">
        <v>9415</v>
      </c>
      <c r="M186" s="101">
        <v>0</v>
      </c>
      <c r="N186" s="101">
        <v>0</v>
      </c>
      <c r="O186" s="101">
        <v>0</v>
      </c>
      <c r="P186" s="101">
        <v>138748.88</v>
      </c>
      <c r="Q186" s="101">
        <v>22472</v>
      </c>
      <c r="R186" s="101">
        <v>13041</v>
      </c>
      <c r="S186" s="101">
        <v>21900</v>
      </c>
      <c r="T186" s="101">
        <v>652098.65</v>
      </c>
      <c r="U186" s="101">
        <v>914888.14</v>
      </c>
      <c r="V186" s="101">
        <v>155334</v>
      </c>
      <c r="W186" s="101">
        <v>594565.52</v>
      </c>
      <c r="X186" s="101">
        <v>316042.48</v>
      </c>
      <c r="Y186" s="101">
        <v>320322.62</v>
      </c>
      <c r="Z186" s="101">
        <v>5240</v>
      </c>
      <c r="AA186" s="101">
        <v>16140</v>
      </c>
      <c r="AB186" s="101">
        <v>0</v>
      </c>
      <c r="AC186" s="101">
        <v>0</v>
      </c>
      <c r="AD186" s="101">
        <v>0</v>
      </c>
      <c r="AE186" s="101">
        <v>298942.62</v>
      </c>
      <c r="AF186" s="101">
        <v>70942</v>
      </c>
      <c r="AG186" s="101">
        <v>8575</v>
      </c>
      <c r="AH186" s="101">
        <v>12720</v>
      </c>
      <c r="AI186" s="101">
        <v>404370.76</v>
      </c>
      <c r="AJ186" s="101">
        <v>571197.31999999995</v>
      </c>
      <c r="AK186" s="101">
        <v>104865.58</v>
      </c>
      <c r="AL186" s="101">
        <v>347705.12</v>
      </c>
      <c r="AM186" s="101">
        <v>189188.68</v>
      </c>
      <c r="AN186" s="101">
        <v>223492.2</v>
      </c>
      <c r="AO186" s="101">
        <v>2945.88</v>
      </c>
      <c r="AP186" s="101">
        <v>10500</v>
      </c>
      <c r="AQ186" s="101">
        <v>0</v>
      </c>
      <c r="AR186" s="101">
        <v>0</v>
      </c>
      <c r="AS186" s="101">
        <v>0</v>
      </c>
      <c r="AT186" s="101">
        <v>210046.32</v>
      </c>
      <c r="AU186" s="101">
        <v>29609.34</v>
      </c>
    </row>
    <row r="187" spans="1:47">
      <c r="A187" s="102" t="s">
        <v>680</v>
      </c>
      <c r="B187" s="102" t="s">
        <v>681</v>
      </c>
      <c r="C187" s="101">
        <v>0</v>
      </c>
      <c r="D187" s="101">
        <v>0</v>
      </c>
      <c r="E187" s="101">
        <v>0</v>
      </c>
      <c r="F187" s="101">
        <v>0</v>
      </c>
      <c r="G187" s="101">
        <v>0</v>
      </c>
      <c r="H187" s="101">
        <v>0</v>
      </c>
      <c r="I187" s="101">
        <v>0</v>
      </c>
      <c r="J187" s="101">
        <v>0</v>
      </c>
      <c r="K187" s="101">
        <v>0</v>
      </c>
      <c r="L187" s="101">
        <v>0</v>
      </c>
      <c r="M187" s="101">
        <v>0</v>
      </c>
      <c r="N187" s="101">
        <v>0</v>
      </c>
      <c r="O187" s="101">
        <v>0</v>
      </c>
      <c r="P187" s="101">
        <v>0</v>
      </c>
      <c r="Q187" s="101">
        <v>0</v>
      </c>
      <c r="R187" s="101">
        <v>0</v>
      </c>
      <c r="S187" s="101">
        <v>0</v>
      </c>
      <c r="T187" s="101">
        <v>0</v>
      </c>
      <c r="U187" s="101">
        <v>0</v>
      </c>
      <c r="V187" s="101">
        <v>0</v>
      </c>
      <c r="W187" s="101">
        <v>0</v>
      </c>
      <c r="X187" s="101">
        <v>0</v>
      </c>
      <c r="Y187" s="101">
        <v>0</v>
      </c>
      <c r="Z187" s="101">
        <v>0</v>
      </c>
      <c r="AA187" s="101">
        <v>0</v>
      </c>
      <c r="AB187" s="101">
        <v>0</v>
      </c>
      <c r="AC187" s="101">
        <v>0</v>
      </c>
      <c r="AD187" s="101">
        <v>0</v>
      </c>
      <c r="AE187" s="101">
        <v>0</v>
      </c>
      <c r="AF187" s="101">
        <v>0</v>
      </c>
      <c r="AG187" s="101">
        <v>9023</v>
      </c>
      <c r="AH187" s="101">
        <v>12296</v>
      </c>
      <c r="AI187" s="101">
        <v>0</v>
      </c>
      <c r="AJ187" s="101">
        <v>0</v>
      </c>
      <c r="AK187" s="101">
        <v>0</v>
      </c>
      <c r="AL187" s="101">
        <v>0</v>
      </c>
      <c r="AM187" s="101">
        <v>0</v>
      </c>
      <c r="AN187" s="101">
        <v>0</v>
      </c>
      <c r="AO187" s="101">
        <v>0</v>
      </c>
      <c r="AP187" s="101">
        <v>0</v>
      </c>
      <c r="AQ187" s="101">
        <v>0</v>
      </c>
      <c r="AR187" s="101">
        <v>0</v>
      </c>
      <c r="AS187" s="101">
        <v>0</v>
      </c>
      <c r="AT187" s="101">
        <v>0</v>
      </c>
      <c r="AU187" s="101">
        <v>0</v>
      </c>
    </row>
    <row r="188" spans="1:47">
      <c r="A188" s="102" t="s">
        <v>908</v>
      </c>
      <c r="B188" s="102" t="e">
        <v>#N/A</v>
      </c>
      <c r="C188" s="101">
        <v>12963</v>
      </c>
      <c r="D188" s="101">
        <v>23320</v>
      </c>
      <c r="E188" s="101">
        <v>682917.5</v>
      </c>
      <c r="F188" s="101">
        <v>959062.5</v>
      </c>
      <c r="G188" s="101">
        <v>200140</v>
      </c>
      <c r="H188" s="101">
        <v>748330.06</v>
      </c>
      <c r="I188" s="101">
        <v>368175.21</v>
      </c>
      <c r="J188" s="101">
        <v>210732.44</v>
      </c>
      <c r="K188" s="101">
        <v>3200</v>
      </c>
      <c r="L188" s="101">
        <v>9415</v>
      </c>
      <c r="M188" s="101">
        <v>0</v>
      </c>
      <c r="N188" s="101">
        <v>0</v>
      </c>
      <c r="O188" s="101">
        <v>0</v>
      </c>
      <c r="P188" s="101">
        <v>198117.44</v>
      </c>
      <c r="Q188" s="101">
        <v>59954.94</v>
      </c>
      <c r="R188" s="101">
        <v>22965</v>
      </c>
      <c r="S188" s="101">
        <v>40150</v>
      </c>
      <c r="T188" s="101">
        <v>1230765.1499999999</v>
      </c>
      <c r="U188" s="101">
        <v>1713807.64</v>
      </c>
      <c r="V188" s="101">
        <v>351172</v>
      </c>
      <c r="W188" s="101">
        <v>1285214.56</v>
      </c>
      <c r="X188" s="101">
        <v>636228.21</v>
      </c>
      <c r="Y188" s="101">
        <v>428593.08</v>
      </c>
      <c r="Z188" s="101">
        <v>5240</v>
      </c>
      <c r="AA188" s="101">
        <v>16140</v>
      </c>
      <c r="AB188" s="101">
        <v>0</v>
      </c>
      <c r="AC188" s="101">
        <v>0</v>
      </c>
      <c r="AD188" s="101">
        <v>0</v>
      </c>
      <c r="AE188" s="101">
        <v>407213.08</v>
      </c>
      <c r="AF188" s="101">
        <v>135708.56</v>
      </c>
      <c r="AG188" s="101">
        <v>33069</v>
      </c>
      <c r="AH188" s="101">
        <v>35616</v>
      </c>
      <c r="AI188" s="101">
        <v>1259259.68</v>
      </c>
      <c r="AJ188" s="101">
        <v>1650982.13</v>
      </c>
      <c r="AK188" s="101">
        <v>279369.09000000003</v>
      </c>
      <c r="AL188" s="101">
        <v>1027759.94</v>
      </c>
      <c r="AM188" s="101">
        <v>529442.36</v>
      </c>
      <c r="AN188" s="101">
        <v>623222.18999999994</v>
      </c>
      <c r="AO188" s="101">
        <v>2945.88</v>
      </c>
      <c r="AP188" s="101">
        <v>30134.54</v>
      </c>
      <c r="AQ188" s="101">
        <v>0</v>
      </c>
      <c r="AR188" s="101">
        <v>0</v>
      </c>
      <c r="AS188" s="101">
        <v>0</v>
      </c>
      <c r="AT188" s="101">
        <v>590141.77</v>
      </c>
      <c r="AU188" s="101">
        <v>70218.31</v>
      </c>
    </row>
    <row r="189" spans="1:47">
      <c r="A189" s="102" t="s">
        <v>703</v>
      </c>
      <c r="B189" s="102" t="s">
        <v>704</v>
      </c>
      <c r="C189" s="101">
        <v>0</v>
      </c>
      <c r="D189" s="101">
        <v>0</v>
      </c>
      <c r="E189" s="101">
        <v>0</v>
      </c>
      <c r="F189" s="101">
        <v>0</v>
      </c>
      <c r="G189" s="101">
        <v>0</v>
      </c>
      <c r="H189" s="101">
        <v>0</v>
      </c>
      <c r="I189" s="101">
        <v>0</v>
      </c>
      <c r="J189" s="101">
        <v>0</v>
      </c>
      <c r="K189" s="101">
        <v>0</v>
      </c>
      <c r="L189" s="101">
        <v>0</v>
      </c>
      <c r="M189" s="101">
        <v>0</v>
      </c>
      <c r="N189" s="101">
        <v>0</v>
      </c>
      <c r="O189" s="101">
        <v>0</v>
      </c>
      <c r="P189" s="101">
        <v>0</v>
      </c>
      <c r="Q189" s="101">
        <v>0</v>
      </c>
      <c r="R189" s="101">
        <v>0</v>
      </c>
      <c r="S189" s="101">
        <v>0</v>
      </c>
      <c r="T189" s="101">
        <v>0</v>
      </c>
      <c r="U189" s="101">
        <v>0</v>
      </c>
      <c r="V189" s="101">
        <v>0</v>
      </c>
      <c r="W189" s="101">
        <v>0</v>
      </c>
      <c r="X189" s="101">
        <v>0</v>
      </c>
      <c r="Y189" s="101">
        <v>0</v>
      </c>
      <c r="Z189" s="101">
        <v>0</v>
      </c>
      <c r="AA189" s="101">
        <v>0</v>
      </c>
      <c r="AB189" s="101">
        <v>0</v>
      </c>
      <c r="AC189" s="101">
        <v>0</v>
      </c>
      <c r="AD189" s="101">
        <v>0</v>
      </c>
      <c r="AE189" s="101">
        <v>0</v>
      </c>
      <c r="AF189" s="101">
        <v>0</v>
      </c>
      <c r="AG189" s="101">
        <v>0</v>
      </c>
      <c r="AH189" s="101">
        <v>10812</v>
      </c>
      <c r="AI189" s="101">
        <v>0</v>
      </c>
      <c r="AJ189" s="101">
        <v>0</v>
      </c>
      <c r="AK189" s="101">
        <v>0</v>
      </c>
      <c r="AL189" s="101">
        <v>0</v>
      </c>
      <c r="AM189" s="101">
        <v>0</v>
      </c>
      <c r="AN189" s="101">
        <v>0</v>
      </c>
      <c r="AO189" s="101">
        <v>0</v>
      </c>
      <c r="AP189" s="101">
        <v>0</v>
      </c>
      <c r="AQ189" s="101">
        <v>0</v>
      </c>
      <c r="AR189" s="101">
        <v>0</v>
      </c>
      <c r="AS189" s="101">
        <v>0</v>
      </c>
      <c r="AT189" s="101">
        <v>0</v>
      </c>
      <c r="AU189" s="101">
        <v>0</v>
      </c>
    </row>
    <row r="190" spans="1:47">
      <c r="A190" s="102" t="s">
        <v>717</v>
      </c>
      <c r="B190" s="102" t="s">
        <v>718</v>
      </c>
      <c r="C190" s="101">
        <v>8029</v>
      </c>
      <c r="D190" s="101">
        <v>23744</v>
      </c>
      <c r="E190" s="101">
        <v>330822.32</v>
      </c>
      <c r="F190" s="101">
        <v>482905.32</v>
      </c>
      <c r="G190" s="101">
        <v>135314</v>
      </c>
      <c r="H190" s="101">
        <v>493650.14</v>
      </c>
      <c r="I190" s="101">
        <v>237041</v>
      </c>
      <c r="J190" s="101">
        <v>-10744.82</v>
      </c>
      <c r="K190" s="101">
        <v>21035.42</v>
      </c>
      <c r="L190" s="101">
        <v>27909</v>
      </c>
      <c r="M190" s="101">
        <v>0</v>
      </c>
      <c r="N190" s="101">
        <v>0</v>
      </c>
      <c r="O190" s="101">
        <v>0</v>
      </c>
      <c r="P190" s="101">
        <v>-59689.24</v>
      </c>
      <c r="Q190" s="101">
        <v>37966.6</v>
      </c>
      <c r="R190" s="101">
        <v>13411</v>
      </c>
      <c r="S190" s="101">
        <v>40880</v>
      </c>
      <c r="T190" s="101">
        <v>553820.72</v>
      </c>
      <c r="U190" s="101">
        <v>774999.72</v>
      </c>
      <c r="V190" s="101">
        <v>192810</v>
      </c>
      <c r="W190" s="101">
        <v>824268.24</v>
      </c>
      <c r="X190" s="101">
        <v>406356</v>
      </c>
      <c r="Y190" s="101">
        <v>-49268.52</v>
      </c>
      <c r="Z190" s="101">
        <v>36060.720000000001</v>
      </c>
      <c r="AA190" s="101">
        <v>47844</v>
      </c>
      <c r="AB190" s="101">
        <v>0</v>
      </c>
      <c r="AC190" s="101">
        <v>0</v>
      </c>
      <c r="AD190" s="101">
        <v>0</v>
      </c>
      <c r="AE190" s="101">
        <v>-133173.24</v>
      </c>
      <c r="AF190" s="101">
        <v>67231.199999999997</v>
      </c>
      <c r="AG190" s="101">
        <v>0</v>
      </c>
      <c r="AH190" s="101">
        <v>23744</v>
      </c>
      <c r="AI190" s="101">
        <v>0</v>
      </c>
      <c r="AJ190" s="101">
        <v>0</v>
      </c>
      <c r="AK190" s="101">
        <v>0</v>
      </c>
      <c r="AL190" s="101">
        <v>0</v>
      </c>
      <c r="AM190" s="101">
        <v>0</v>
      </c>
      <c r="AN190" s="101">
        <v>0</v>
      </c>
      <c r="AO190" s="101">
        <v>0</v>
      </c>
      <c r="AP190" s="101">
        <v>0</v>
      </c>
      <c r="AQ190" s="101">
        <v>0</v>
      </c>
      <c r="AR190" s="101">
        <v>0</v>
      </c>
      <c r="AS190" s="101">
        <v>0</v>
      </c>
      <c r="AT190" s="101">
        <v>0</v>
      </c>
      <c r="AU190" s="101">
        <v>0</v>
      </c>
    </row>
    <row r="191" spans="1:47">
      <c r="A191" s="102" t="s">
        <v>771</v>
      </c>
      <c r="B191" s="102" t="s">
        <v>772</v>
      </c>
      <c r="C191" s="101">
        <v>5006</v>
      </c>
      <c r="D191" s="101">
        <v>12360</v>
      </c>
      <c r="E191" s="101">
        <v>262380.40000000002</v>
      </c>
      <c r="F191" s="101">
        <v>319268.40000000002</v>
      </c>
      <c r="G191" s="101">
        <v>53125</v>
      </c>
      <c r="H191" s="101">
        <v>311734.01</v>
      </c>
      <c r="I191" s="101">
        <v>162323.20000000001</v>
      </c>
      <c r="J191" s="101">
        <v>7534.39</v>
      </c>
      <c r="K191" s="101">
        <v>0</v>
      </c>
      <c r="L191" s="101">
        <v>1757</v>
      </c>
      <c r="M191" s="101">
        <v>0</v>
      </c>
      <c r="N191" s="101">
        <v>0</v>
      </c>
      <c r="O191" s="101">
        <v>0</v>
      </c>
      <c r="P191" s="101">
        <v>5777.39</v>
      </c>
      <c r="Q191" s="101">
        <v>12500</v>
      </c>
      <c r="R191" s="101">
        <v>8191</v>
      </c>
      <c r="S191" s="101">
        <v>21060</v>
      </c>
      <c r="T191" s="101">
        <v>403648.9</v>
      </c>
      <c r="U191" s="101">
        <v>493599.9</v>
      </c>
      <c r="V191" s="101">
        <v>84650</v>
      </c>
      <c r="W191" s="101">
        <v>521124.71</v>
      </c>
      <c r="X191" s="101">
        <v>280631.2</v>
      </c>
      <c r="Y191" s="101">
        <v>-27524.81</v>
      </c>
      <c r="Z191" s="101">
        <v>0</v>
      </c>
      <c r="AA191" s="101">
        <v>3012</v>
      </c>
      <c r="AB191" s="101">
        <v>0</v>
      </c>
      <c r="AC191" s="101">
        <v>0</v>
      </c>
      <c r="AD191" s="101">
        <v>0</v>
      </c>
      <c r="AE191" s="101">
        <v>-30536.81</v>
      </c>
      <c r="AF191" s="101">
        <v>19230</v>
      </c>
      <c r="AG191" s="101">
        <v>319</v>
      </c>
      <c r="AH191" s="101">
        <v>12720</v>
      </c>
      <c r="AI191" s="101">
        <v>13631.62</v>
      </c>
      <c r="AJ191" s="101">
        <v>18356.330000000002</v>
      </c>
      <c r="AK191" s="101">
        <v>4287.25</v>
      </c>
      <c r="AL191" s="101">
        <v>3353.99</v>
      </c>
      <c r="AM191" s="101">
        <v>1398.72</v>
      </c>
      <c r="AN191" s="101">
        <v>15002.34</v>
      </c>
      <c r="AO191" s="101">
        <v>0</v>
      </c>
      <c r="AP191" s="101">
        <v>0</v>
      </c>
      <c r="AQ191" s="101">
        <v>0</v>
      </c>
      <c r="AR191" s="101">
        <v>0</v>
      </c>
      <c r="AS191" s="101">
        <v>0</v>
      </c>
      <c r="AT191" s="101">
        <v>15002.34</v>
      </c>
      <c r="AU191" s="101">
        <v>702.6</v>
      </c>
    </row>
    <row r="192" spans="1:47">
      <c r="A192" s="102" t="s">
        <v>675</v>
      </c>
      <c r="B192" s="102" t="s">
        <v>676</v>
      </c>
      <c r="C192" s="101">
        <v>8220</v>
      </c>
      <c r="D192" s="101">
        <v>16960</v>
      </c>
      <c r="E192" s="101">
        <v>352140</v>
      </c>
      <c r="F192" s="101">
        <v>403540</v>
      </c>
      <c r="G192" s="101">
        <v>44500</v>
      </c>
      <c r="H192" s="101">
        <v>344271</v>
      </c>
      <c r="I192" s="101">
        <v>184100</v>
      </c>
      <c r="J192" s="101">
        <v>59269</v>
      </c>
      <c r="K192" s="101">
        <v>77000</v>
      </c>
      <c r="L192" s="101">
        <v>17500</v>
      </c>
      <c r="M192" s="101">
        <v>0</v>
      </c>
      <c r="N192" s="101">
        <v>0</v>
      </c>
      <c r="O192" s="101">
        <v>0</v>
      </c>
      <c r="P192" s="101">
        <v>-35231</v>
      </c>
      <c r="Q192" s="101">
        <v>0</v>
      </c>
      <c r="R192" s="101">
        <v>14045</v>
      </c>
      <c r="S192" s="101">
        <v>29200</v>
      </c>
      <c r="T192" s="101">
        <v>601140</v>
      </c>
      <c r="U192" s="101">
        <v>685740</v>
      </c>
      <c r="V192" s="101">
        <v>73000</v>
      </c>
      <c r="W192" s="101">
        <v>588801</v>
      </c>
      <c r="X192" s="101">
        <v>315600</v>
      </c>
      <c r="Y192" s="101">
        <v>96939</v>
      </c>
      <c r="Z192" s="101">
        <v>132000</v>
      </c>
      <c r="AA192" s="101">
        <v>30000</v>
      </c>
      <c r="AB192" s="101">
        <v>0</v>
      </c>
      <c r="AC192" s="101">
        <v>0</v>
      </c>
      <c r="AD192" s="101">
        <v>0</v>
      </c>
      <c r="AE192" s="101">
        <v>-65061</v>
      </c>
      <c r="AF192" s="101">
        <v>0</v>
      </c>
      <c r="AG192" s="101">
        <v>4052</v>
      </c>
      <c r="AH192" s="101">
        <v>16960</v>
      </c>
      <c r="AI192" s="101">
        <v>165844.54</v>
      </c>
      <c r="AJ192" s="101">
        <v>195114.65</v>
      </c>
      <c r="AK192" s="101">
        <v>25895.93</v>
      </c>
      <c r="AL192" s="101">
        <v>194406.25</v>
      </c>
      <c r="AM192" s="101">
        <v>86714.72</v>
      </c>
      <c r="AN192" s="101">
        <v>708.4</v>
      </c>
      <c r="AO192" s="101">
        <v>33163.769999999997</v>
      </c>
      <c r="AP192" s="101">
        <v>5472.59</v>
      </c>
      <c r="AQ192" s="101">
        <v>0</v>
      </c>
      <c r="AR192" s="101">
        <v>0</v>
      </c>
      <c r="AS192" s="101">
        <v>0</v>
      </c>
      <c r="AT192" s="101">
        <v>-37927.96</v>
      </c>
      <c r="AU192" s="101">
        <v>18794.46</v>
      </c>
    </row>
    <row r="193" spans="1:47">
      <c r="A193" s="102" t="s">
        <v>673</v>
      </c>
      <c r="B193" s="102" t="s">
        <v>674</v>
      </c>
      <c r="C193" s="101">
        <v>5645</v>
      </c>
      <c r="D193" s="101">
        <v>8692</v>
      </c>
      <c r="E193" s="101">
        <v>342435</v>
      </c>
      <c r="F193" s="101">
        <v>391985</v>
      </c>
      <c r="G193" s="101">
        <v>28000</v>
      </c>
      <c r="H193" s="101">
        <v>303185</v>
      </c>
      <c r="I193" s="101">
        <v>157500</v>
      </c>
      <c r="J193" s="101">
        <v>88800</v>
      </c>
      <c r="K193" s="101">
        <v>42000</v>
      </c>
      <c r="L193" s="101">
        <v>24500</v>
      </c>
      <c r="M193" s="101">
        <v>0</v>
      </c>
      <c r="N193" s="101">
        <v>0</v>
      </c>
      <c r="O193" s="101">
        <v>0</v>
      </c>
      <c r="P193" s="101">
        <v>22300</v>
      </c>
      <c r="Q193" s="101">
        <v>0</v>
      </c>
      <c r="R193" s="101">
        <v>9300</v>
      </c>
      <c r="S193" s="101">
        <v>14965</v>
      </c>
      <c r="T193" s="101">
        <v>562695</v>
      </c>
      <c r="U193" s="101">
        <v>645495</v>
      </c>
      <c r="V193" s="101">
        <v>48000</v>
      </c>
      <c r="W193" s="101">
        <v>519415</v>
      </c>
      <c r="X193" s="101">
        <v>270000</v>
      </c>
      <c r="Y193" s="101">
        <v>126080</v>
      </c>
      <c r="Z193" s="101">
        <v>72000</v>
      </c>
      <c r="AA193" s="101">
        <v>42000</v>
      </c>
      <c r="AB193" s="101">
        <v>0</v>
      </c>
      <c r="AC193" s="101">
        <v>0</v>
      </c>
      <c r="AD193" s="101">
        <v>0</v>
      </c>
      <c r="AE193" s="101">
        <v>12080</v>
      </c>
      <c r="AF193" s="101">
        <v>0</v>
      </c>
      <c r="AG193" s="101">
        <v>2466</v>
      </c>
      <c r="AH193" s="101">
        <v>8692</v>
      </c>
      <c r="AI193" s="101">
        <v>151686.1</v>
      </c>
      <c r="AJ193" s="101">
        <v>175951.53</v>
      </c>
      <c r="AK193" s="101">
        <v>15034.64</v>
      </c>
      <c r="AL193" s="101">
        <v>144032.88</v>
      </c>
      <c r="AM193" s="101">
        <v>85177.03</v>
      </c>
      <c r="AN193" s="101">
        <v>31918.65</v>
      </c>
      <c r="AO193" s="101">
        <v>16996.439999999999</v>
      </c>
      <c r="AP193" s="101">
        <v>11657.3</v>
      </c>
      <c r="AQ193" s="101">
        <v>0</v>
      </c>
      <c r="AR193" s="101">
        <v>0</v>
      </c>
      <c r="AS193" s="101">
        <v>0</v>
      </c>
      <c r="AT193" s="101">
        <v>3264.91</v>
      </c>
      <c r="AU193" s="101">
        <v>17658.919999999998</v>
      </c>
    </row>
    <row r="194" spans="1:47">
      <c r="A194" s="102" t="s">
        <v>671</v>
      </c>
      <c r="B194" s="102" t="s">
        <v>672</v>
      </c>
      <c r="C194" s="101">
        <v>4335</v>
      </c>
      <c r="D194" s="101">
        <v>8056</v>
      </c>
      <c r="E194" s="101">
        <v>235855</v>
      </c>
      <c r="F194" s="101">
        <v>258555</v>
      </c>
      <c r="G194" s="101">
        <v>16500</v>
      </c>
      <c r="H194" s="101">
        <v>215500</v>
      </c>
      <c r="I194" s="101">
        <v>122500</v>
      </c>
      <c r="J194" s="101">
        <v>43055</v>
      </c>
      <c r="K194" s="101">
        <v>42000</v>
      </c>
      <c r="L194" s="101">
        <v>22750</v>
      </c>
      <c r="M194" s="101">
        <v>0</v>
      </c>
      <c r="N194" s="101">
        <v>0</v>
      </c>
      <c r="O194" s="101">
        <v>0</v>
      </c>
      <c r="P194" s="101">
        <v>-21695</v>
      </c>
      <c r="Q194" s="101">
        <v>0</v>
      </c>
      <c r="R194" s="101">
        <v>6665</v>
      </c>
      <c r="S194" s="101">
        <v>13870</v>
      </c>
      <c r="T194" s="101">
        <v>362645</v>
      </c>
      <c r="U194" s="101">
        <v>398295</v>
      </c>
      <c r="V194" s="101">
        <v>26000</v>
      </c>
      <c r="W194" s="101">
        <v>369450</v>
      </c>
      <c r="X194" s="101">
        <v>210000</v>
      </c>
      <c r="Y194" s="101">
        <v>28845</v>
      </c>
      <c r="Z194" s="101">
        <v>72000</v>
      </c>
      <c r="AA194" s="101">
        <v>39000</v>
      </c>
      <c r="AB194" s="101">
        <v>0</v>
      </c>
      <c r="AC194" s="101">
        <v>0</v>
      </c>
      <c r="AD194" s="101">
        <v>0</v>
      </c>
      <c r="AE194" s="101">
        <v>-82155</v>
      </c>
      <c r="AF194" s="101">
        <v>0</v>
      </c>
      <c r="AG194" s="101">
        <v>1697</v>
      </c>
      <c r="AH194" s="101">
        <v>8056</v>
      </c>
      <c r="AI194" s="101">
        <v>98731</v>
      </c>
      <c r="AJ194" s="101">
        <v>106303.87</v>
      </c>
      <c r="AK194" s="101">
        <v>5610.11</v>
      </c>
      <c r="AL194" s="101">
        <v>97252.3</v>
      </c>
      <c r="AM194" s="101">
        <v>60791.16</v>
      </c>
      <c r="AN194" s="101">
        <v>9051.57</v>
      </c>
      <c r="AO194" s="101">
        <v>15752.79</v>
      </c>
      <c r="AP194" s="101">
        <v>11618.28</v>
      </c>
      <c r="AQ194" s="101">
        <v>0</v>
      </c>
      <c r="AR194" s="101">
        <v>0</v>
      </c>
      <c r="AS194" s="101">
        <v>0</v>
      </c>
      <c r="AT194" s="101">
        <v>-18319.5</v>
      </c>
      <c r="AU194" s="101">
        <v>9209.8799999999992</v>
      </c>
    </row>
    <row r="195" spans="1:47">
      <c r="A195" s="102" t="s">
        <v>783</v>
      </c>
      <c r="B195" s="102" t="s">
        <v>784</v>
      </c>
      <c r="C195" s="101">
        <v>9180</v>
      </c>
      <c r="D195" s="101">
        <v>15476</v>
      </c>
      <c r="E195" s="101">
        <v>480848.5</v>
      </c>
      <c r="F195" s="101">
        <v>577353.5</v>
      </c>
      <c r="G195" s="101">
        <v>71079</v>
      </c>
      <c r="H195" s="101">
        <v>358794.16</v>
      </c>
      <c r="I195" s="101">
        <v>155966.09</v>
      </c>
      <c r="J195" s="101">
        <v>218559.34</v>
      </c>
      <c r="K195" s="101">
        <v>0</v>
      </c>
      <c r="L195" s="101">
        <v>0</v>
      </c>
      <c r="M195" s="101">
        <v>0</v>
      </c>
      <c r="N195" s="101">
        <v>0</v>
      </c>
      <c r="O195" s="101">
        <v>0</v>
      </c>
      <c r="P195" s="101">
        <v>218559.34</v>
      </c>
      <c r="Q195" s="101">
        <v>34893</v>
      </c>
      <c r="R195" s="101">
        <v>16377.03</v>
      </c>
      <c r="S195" s="101">
        <v>26645</v>
      </c>
      <c r="T195" s="101">
        <v>882337.6</v>
      </c>
      <c r="U195" s="101">
        <v>1053296.6000000001</v>
      </c>
      <c r="V195" s="101">
        <v>125748</v>
      </c>
      <c r="W195" s="101">
        <v>629991.41</v>
      </c>
      <c r="X195" s="101">
        <v>267370.44</v>
      </c>
      <c r="Y195" s="101">
        <v>423305.19</v>
      </c>
      <c r="Z195" s="101">
        <v>0</v>
      </c>
      <c r="AA195" s="101">
        <v>0</v>
      </c>
      <c r="AB195" s="101">
        <v>0</v>
      </c>
      <c r="AC195" s="101">
        <v>0</v>
      </c>
      <c r="AD195" s="101">
        <v>0</v>
      </c>
      <c r="AE195" s="101">
        <v>423305.19</v>
      </c>
      <c r="AF195" s="101">
        <v>65128</v>
      </c>
      <c r="AG195" s="101">
        <v>5457</v>
      </c>
      <c r="AH195" s="101">
        <v>15476</v>
      </c>
      <c r="AI195" s="101">
        <v>281483.06</v>
      </c>
      <c r="AJ195" s="101">
        <v>343393.34</v>
      </c>
      <c r="AK195" s="101">
        <v>44721.96</v>
      </c>
      <c r="AL195" s="101">
        <v>237589.25</v>
      </c>
      <c r="AM195" s="101">
        <v>99782.21</v>
      </c>
      <c r="AN195" s="101">
        <v>105804.09</v>
      </c>
      <c r="AO195" s="101">
        <v>0</v>
      </c>
      <c r="AP195" s="101">
        <v>0</v>
      </c>
      <c r="AQ195" s="101">
        <v>0</v>
      </c>
      <c r="AR195" s="101">
        <v>0</v>
      </c>
      <c r="AS195" s="101">
        <v>0</v>
      </c>
      <c r="AT195" s="101">
        <v>105804.09</v>
      </c>
      <c r="AU195" s="101">
        <v>17019.05</v>
      </c>
    </row>
    <row r="196" spans="1:47">
      <c r="A196" s="102" t="s">
        <v>748</v>
      </c>
      <c r="B196" s="102" t="s">
        <v>749</v>
      </c>
      <c r="C196" s="101">
        <v>6711</v>
      </c>
      <c r="D196" s="101">
        <v>9540</v>
      </c>
      <c r="E196" s="101">
        <v>415686.97</v>
      </c>
      <c r="F196" s="101">
        <v>522488.84</v>
      </c>
      <c r="G196" s="101">
        <v>77877.350000000006</v>
      </c>
      <c r="H196" s="101">
        <v>361440.39</v>
      </c>
      <c r="I196" s="101">
        <v>104246.3</v>
      </c>
      <c r="J196" s="101">
        <v>161048.45000000001</v>
      </c>
      <c r="K196" s="101">
        <v>6720</v>
      </c>
      <c r="L196" s="101">
        <v>1407</v>
      </c>
      <c r="M196" s="101">
        <v>0</v>
      </c>
      <c r="N196" s="101">
        <v>0</v>
      </c>
      <c r="O196" s="101">
        <v>0</v>
      </c>
      <c r="P196" s="101">
        <v>152921.45000000001</v>
      </c>
      <c r="Q196" s="101">
        <v>40155.050000000003</v>
      </c>
      <c r="R196" s="101">
        <v>11773</v>
      </c>
      <c r="S196" s="101">
        <v>16425</v>
      </c>
      <c r="T196" s="101">
        <v>723939.43</v>
      </c>
      <c r="U196" s="101">
        <v>900000.46</v>
      </c>
      <c r="V196" s="101">
        <v>123247.55</v>
      </c>
      <c r="W196" s="101">
        <v>624097.09</v>
      </c>
      <c r="X196" s="101">
        <v>181184.44</v>
      </c>
      <c r="Y196" s="101">
        <v>275903.37</v>
      </c>
      <c r="Z196" s="101">
        <v>11520</v>
      </c>
      <c r="AA196" s="101">
        <v>2412</v>
      </c>
      <c r="AB196" s="101">
        <v>0</v>
      </c>
      <c r="AC196" s="101">
        <v>0</v>
      </c>
      <c r="AD196" s="101">
        <v>0</v>
      </c>
      <c r="AE196" s="101">
        <v>261971.37</v>
      </c>
      <c r="AF196" s="101">
        <v>68968.61</v>
      </c>
      <c r="AG196" s="101">
        <v>6798</v>
      </c>
      <c r="AH196" s="101">
        <v>10176</v>
      </c>
      <c r="AI196" s="101">
        <v>411322.23</v>
      </c>
      <c r="AJ196" s="101">
        <v>506836.75</v>
      </c>
      <c r="AK196" s="101">
        <v>74143.3</v>
      </c>
      <c r="AL196" s="101">
        <v>374238.03</v>
      </c>
      <c r="AM196" s="101">
        <v>117579.62</v>
      </c>
      <c r="AN196" s="101">
        <v>132598.72</v>
      </c>
      <c r="AO196" s="101">
        <v>6720</v>
      </c>
      <c r="AP196" s="101">
        <v>1005.3</v>
      </c>
      <c r="AQ196" s="101">
        <v>0</v>
      </c>
      <c r="AR196" s="101">
        <v>0</v>
      </c>
      <c r="AS196" s="101">
        <v>0</v>
      </c>
      <c r="AT196" s="101">
        <v>124873.42</v>
      </c>
      <c r="AU196" s="101">
        <v>40109.269999999997</v>
      </c>
    </row>
    <row r="197" spans="1:47">
      <c r="A197" s="102" t="s">
        <v>1036</v>
      </c>
      <c r="B197" s="102" t="e">
        <v>#N/A</v>
      </c>
      <c r="C197" s="101">
        <v>47126</v>
      </c>
      <c r="D197" s="101">
        <v>94828</v>
      </c>
      <c r="E197" s="101">
        <v>2420168.19</v>
      </c>
      <c r="F197" s="101">
        <v>2956096.06</v>
      </c>
      <c r="G197" s="101">
        <v>426395.35</v>
      </c>
      <c r="H197" s="101">
        <v>2388574.7000000002</v>
      </c>
      <c r="I197" s="101">
        <v>1123676.5900000001</v>
      </c>
      <c r="J197" s="101">
        <v>567521.36</v>
      </c>
      <c r="K197" s="101">
        <v>188755.42</v>
      </c>
      <c r="L197" s="101">
        <v>95823</v>
      </c>
      <c r="M197" s="101">
        <v>0</v>
      </c>
      <c r="N197" s="101">
        <v>0</v>
      </c>
      <c r="O197" s="101">
        <v>0</v>
      </c>
      <c r="P197" s="101">
        <v>282942.94</v>
      </c>
      <c r="Q197" s="101">
        <v>125514.65</v>
      </c>
      <c r="R197" s="101">
        <v>79762.03</v>
      </c>
      <c r="S197" s="101">
        <v>163045</v>
      </c>
      <c r="T197" s="101">
        <v>4090226.65</v>
      </c>
      <c r="U197" s="101">
        <v>4951426.6800000006</v>
      </c>
      <c r="V197" s="101">
        <v>673455.55</v>
      </c>
      <c r="W197" s="101">
        <v>4077147.4500000011</v>
      </c>
      <c r="X197" s="101">
        <v>1931142.08</v>
      </c>
      <c r="Y197" s="101">
        <v>874279.23</v>
      </c>
      <c r="Z197" s="101">
        <v>323580.71999999997</v>
      </c>
      <c r="AA197" s="101">
        <v>164268</v>
      </c>
      <c r="AB197" s="101">
        <v>0</v>
      </c>
      <c r="AC197" s="101">
        <v>0</v>
      </c>
      <c r="AD197" s="101">
        <v>0</v>
      </c>
      <c r="AE197" s="101">
        <v>386430.51</v>
      </c>
      <c r="AF197" s="101">
        <v>220557.81</v>
      </c>
      <c r="AG197" s="101">
        <v>20789</v>
      </c>
      <c r="AH197" s="101">
        <v>106636</v>
      </c>
      <c r="AI197" s="101">
        <v>1122698.55</v>
      </c>
      <c r="AJ197" s="101">
        <v>1345956.4700000009</v>
      </c>
      <c r="AK197" s="101">
        <v>169693.19</v>
      </c>
      <c r="AL197" s="101">
        <v>1050872.7</v>
      </c>
      <c r="AM197" s="101">
        <v>451443.46</v>
      </c>
      <c r="AN197" s="101">
        <v>295083.77</v>
      </c>
      <c r="AO197" s="101">
        <v>72633</v>
      </c>
      <c r="AP197" s="101">
        <v>29753.47</v>
      </c>
      <c r="AQ197" s="101">
        <v>0</v>
      </c>
      <c r="AR197" s="101">
        <v>0</v>
      </c>
      <c r="AS197" s="101">
        <v>0</v>
      </c>
      <c r="AT197" s="101">
        <v>192697.3</v>
      </c>
      <c r="AU197" s="101">
        <v>103494.18</v>
      </c>
    </row>
    <row r="198" spans="1:47">
      <c r="A198" s="102" t="s">
        <v>1037</v>
      </c>
      <c r="B198" s="102" t="e">
        <v>#N/A</v>
      </c>
      <c r="C198" s="101">
        <v>124081.19</v>
      </c>
      <c r="D198" s="101">
        <v>222028</v>
      </c>
      <c r="E198" s="101">
        <v>7039340.580000001</v>
      </c>
      <c r="F198" s="101">
        <v>10756233.6</v>
      </c>
      <c r="G198" s="101">
        <v>3047149.73</v>
      </c>
      <c r="H198" s="101">
        <v>8069593.9699999997</v>
      </c>
      <c r="I198" s="101">
        <v>3379955.24</v>
      </c>
      <c r="J198" s="101">
        <v>2686639.63</v>
      </c>
      <c r="K198" s="101">
        <v>200453.42</v>
      </c>
      <c r="L198" s="101">
        <v>231322</v>
      </c>
      <c r="M198" s="101">
        <v>0</v>
      </c>
      <c r="N198" s="101">
        <v>0</v>
      </c>
      <c r="O198" s="101">
        <v>0</v>
      </c>
      <c r="P198" s="101">
        <v>2254864.21</v>
      </c>
      <c r="Q198" s="101">
        <v>500424.21</v>
      </c>
      <c r="R198" s="101">
        <v>217215.22</v>
      </c>
      <c r="S198" s="101">
        <v>382045</v>
      </c>
      <c r="T198" s="101">
        <v>12497259.57</v>
      </c>
      <c r="U198" s="101">
        <v>19100185.310000002</v>
      </c>
      <c r="V198" s="101">
        <v>5459760.8900000006</v>
      </c>
      <c r="W198" s="101">
        <v>13990453.260000004</v>
      </c>
      <c r="X198" s="101">
        <v>5810393.6500000013</v>
      </c>
      <c r="Y198" s="101">
        <v>5109732.05</v>
      </c>
      <c r="Z198" s="101">
        <v>340510.71999999997</v>
      </c>
      <c r="AA198" s="101">
        <v>396552</v>
      </c>
      <c r="AB198" s="101">
        <v>0</v>
      </c>
      <c r="AC198" s="101">
        <v>0</v>
      </c>
      <c r="AD198" s="101">
        <v>0</v>
      </c>
      <c r="AE198" s="101">
        <v>4372669.3299999991</v>
      </c>
      <c r="AF198" s="101">
        <v>1007177.62</v>
      </c>
      <c r="AG198" s="101">
        <v>146961</v>
      </c>
      <c r="AH198" s="101">
        <v>295740</v>
      </c>
      <c r="AI198" s="101">
        <v>7804234.71</v>
      </c>
      <c r="AJ198" s="101">
        <v>11432531.869999999</v>
      </c>
      <c r="AK198" s="101">
        <v>2865648.33</v>
      </c>
      <c r="AL198" s="101">
        <v>8322147.6799999997</v>
      </c>
      <c r="AM198" s="101">
        <v>3442375.76</v>
      </c>
      <c r="AN198" s="101">
        <v>3110384.19</v>
      </c>
      <c r="AO198" s="101">
        <v>85074.42</v>
      </c>
      <c r="AP198" s="101">
        <v>197668.81</v>
      </c>
      <c r="AQ198" s="101">
        <v>0</v>
      </c>
      <c r="AR198" s="101">
        <v>0</v>
      </c>
      <c r="AS198" s="101">
        <v>0</v>
      </c>
      <c r="AT198" s="101">
        <v>2827640.9600000009</v>
      </c>
      <c r="AU198" s="101">
        <v>599530.49</v>
      </c>
    </row>
    <row r="199" spans="1:47">
      <c r="A199" s="102" t="s">
        <v>713</v>
      </c>
      <c r="B199" s="102" t="s">
        <v>714</v>
      </c>
      <c r="C199" s="101">
        <v>23969</v>
      </c>
      <c r="D199" s="101">
        <v>34556</v>
      </c>
      <c r="E199" s="101">
        <v>1382852.1</v>
      </c>
      <c r="F199" s="101">
        <v>1920207.38</v>
      </c>
      <c r="G199" s="101">
        <v>475514.94</v>
      </c>
      <c r="H199" s="101">
        <v>1257735.6299999999</v>
      </c>
      <c r="I199" s="101">
        <v>463674.16</v>
      </c>
      <c r="J199" s="101">
        <v>662471.75</v>
      </c>
      <c r="K199" s="101">
        <v>0</v>
      </c>
      <c r="L199" s="101">
        <v>0</v>
      </c>
      <c r="M199" s="101">
        <v>0</v>
      </c>
      <c r="N199" s="101">
        <v>0</v>
      </c>
      <c r="O199" s="101">
        <v>0</v>
      </c>
      <c r="P199" s="101">
        <v>662471.75</v>
      </c>
      <c r="Q199" s="101">
        <v>146060.43</v>
      </c>
      <c r="R199" s="101">
        <v>41355</v>
      </c>
      <c r="S199" s="101">
        <v>59495</v>
      </c>
      <c r="T199" s="101">
        <v>2561993.7999999998</v>
      </c>
      <c r="U199" s="101">
        <v>3575580.84</v>
      </c>
      <c r="V199" s="101">
        <v>899772.74</v>
      </c>
      <c r="W199" s="101">
        <v>2232290.5200000009</v>
      </c>
      <c r="X199" s="101">
        <v>804172.56</v>
      </c>
      <c r="Y199" s="101">
        <v>1343290.32</v>
      </c>
      <c r="Z199" s="101">
        <v>0</v>
      </c>
      <c r="AA199" s="101">
        <v>0</v>
      </c>
      <c r="AB199" s="101">
        <v>0</v>
      </c>
      <c r="AC199" s="101">
        <v>0</v>
      </c>
      <c r="AD199" s="101">
        <v>0</v>
      </c>
      <c r="AE199" s="101">
        <v>1343290.32</v>
      </c>
      <c r="AF199" s="101">
        <v>283879.52</v>
      </c>
      <c r="AG199" s="101">
        <v>25399</v>
      </c>
      <c r="AH199" s="101">
        <v>34556</v>
      </c>
      <c r="AI199" s="101">
        <v>1589644.44</v>
      </c>
      <c r="AJ199" s="101">
        <v>2135930.61</v>
      </c>
      <c r="AK199" s="101">
        <v>482368.23</v>
      </c>
      <c r="AL199" s="101">
        <v>1350383.55</v>
      </c>
      <c r="AM199" s="101">
        <v>649752.30000000005</v>
      </c>
      <c r="AN199" s="101">
        <v>785547.06</v>
      </c>
      <c r="AO199" s="101">
        <v>0</v>
      </c>
      <c r="AP199" s="101">
        <v>0</v>
      </c>
      <c r="AQ199" s="101">
        <v>0</v>
      </c>
      <c r="AR199" s="101">
        <v>0</v>
      </c>
      <c r="AS199" s="101">
        <v>0</v>
      </c>
      <c r="AT199" s="101">
        <v>785547.06</v>
      </c>
      <c r="AU199" s="101">
        <v>87804.94</v>
      </c>
    </row>
    <row r="200" spans="1:47">
      <c r="A200" s="102" t="s">
        <v>709</v>
      </c>
      <c r="B200" s="102" t="s">
        <v>710</v>
      </c>
      <c r="C200" s="101">
        <v>18142</v>
      </c>
      <c r="D200" s="101">
        <v>30447</v>
      </c>
      <c r="E200" s="101">
        <v>1382540</v>
      </c>
      <c r="F200" s="101">
        <v>1970135</v>
      </c>
      <c r="G200" s="101">
        <v>470864</v>
      </c>
      <c r="H200" s="101">
        <v>1756188.35</v>
      </c>
      <c r="I200" s="101">
        <v>724274</v>
      </c>
      <c r="J200" s="101">
        <v>213946.65</v>
      </c>
      <c r="K200" s="101">
        <v>3185</v>
      </c>
      <c r="L200" s="101">
        <v>85070.54</v>
      </c>
      <c r="M200" s="101">
        <v>0</v>
      </c>
      <c r="N200" s="101">
        <v>0</v>
      </c>
      <c r="O200" s="101">
        <v>0</v>
      </c>
      <c r="P200" s="101">
        <v>125691.11</v>
      </c>
      <c r="Q200" s="101">
        <v>105769.99</v>
      </c>
      <c r="R200" s="101">
        <v>31576</v>
      </c>
      <c r="S200" s="101">
        <v>48556</v>
      </c>
      <c r="T200" s="101">
        <v>2606755.9</v>
      </c>
      <c r="U200" s="101">
        <v>3735086.9</v>
      </c>
      <c r="V200" s="101">
        <v>926310</v>
      </c>
      <c r="W200" s="101">
        <v>3210156.38</v>
      </c>
      <c r="X200" s="101">
        <v>1389271</v>
      </c>
      <c r="Y200" s="101">
        <v>524930.52</v>
      </c>
      <c r="Z200" s="101">
        <v>5460</v>
      </c>
      <c r="AA200" s="101">
        <v>145835.54</v>
      </c>
      <c r="AB200" s="101">
        <v>0</v>
      </c>
      <c r="AC200" s="101">
        <v>0</v>
      </c>
      <c r="AD200" s="101">
        <v>0</v>
      </c>
      <c r="AE200" s="101">
        <v>373634.98</v>
      </c>
      <c r="AF200" s="101">
        <v>206616.69</v>
      </c>
      <c r="AG200" s="101">
        <v>0</v>
      </c>
      <c r="AH200" s="101">
        <v>30447</v>
      </c>
      <c r="AI200" s="101">
        <v>0</v>
      </c>
      <c r="AJ200" s="101">
        <v>0</v>
      </c>
      <c r="AK200" s="101">
        <v>0</v>
      </c>
      <c r="AL200" s="101">
        <v>89945.08</v>
      </c>
      <c r="AM200" s="101">
        <v>-8136.52</v>
      </c>
      <c r="AN200" s="101">
        <v>-89945.08</v>
      </c>
      <c r="AO200" s="101">
        <v>0</v>
      </c>
      <c r="AP200" s="101">
        <v>0</v>
      </c>
      <c r="AQ200" s="101">
        <v>0</v>
      </c>
      <c r="AR200" s="101">
        <v>0</v>
      </c>
      <c r="AS200" s="101">
        <v>0</v>
      </c>
      <c r="AT200" s="101">
        <v>-89945.08</v>
      </c>
      <c r="AU200" s="101">
        <v>0</v>
      </c>
    </row>
    <row r="201" spans="1:47">
      <c r="A201" s="102" t="s">
        <v>760</v>
      </c>
      <c r="B201" s="102" t="s">
        <v>761</v>
      </c>
      <c r="C201" s="101">
        <v>6387</v>
      </c>
      <c r="D201" s="101">
        <v>15688</v>
      </c>
      <c r="E201" s="101">
        <v>263568</v>
      </c>
      <c r="F201" s="101">
        <v>503470</v>
      </c>
      <c r="G201" s="101">
        <v>231837</v>
      </c>
      <c r="H201" s="101">
        <v>524696.46</v>
      </c>
      <c r="I201" s="101">
        <v>183715</v>
      </c>
      <c r="J201" s="101">
        <v>-21226.46</v>
      </c>
      <c r="K201" s="101">
        <v>0</v>
      </c>
      <c r="L201" s="101">
        <v>12950</v>
      </c>
      <c r="M201" s="101">
        <v>0</v>
      </c>
      <c r="N201" s="101">
        <v>0</v>
      </c>
      <c r="O201" s="101">
        <v>0</v>
      </c>
      <c r="P201" s="101">
        <v>-34176.46</v>
      </c>
      <c r="Q201" s="101">
        <v>30009</v>
      </c>
      <c r="R201" s="101">
        <v>11000</v>
      </c>
      <c r="S201" s="101">
        <v>27010</v>
      </c>
      <c r="T201" s="101">
        <v>499521</v>
      </c>
      <c r="U201" s="101">
        <v>949603</v>
      </c>
      <c r="V201" s="101">
        <v>435497</v>
      </c>
      <c r="W201" s="101">
        <v>913773.98</v>
      </c>
      <c r="X201" s="101">
        <v>324486</v>
      </c>
      <c r="Y201" s="101">
        <v>35829.019999999997</v>
      </c>
      <c r="Z201" s="101">
        <v>0</v>
      </c>
      <c r="AA201" s="101">
        <v>22200</v>
      </c>
      <c r="AB201" s="101">
        <v>0</v>
      </c>
      <c r="AC201" s="101">
        <v>0</v>
      </c>
      <c r="AD201" s="101">
        <v>0</v>
      </c>
      <c r="AE201" s="101">
        <v>13629.02</v>
      </c>
      <c r="AF201" s="101">
        <v>59312</v>
      </c>
      <c r="AG201" s="101">
        <v>562</v>
      </c>
      <c r="AH201" s="101">
        <v>15688</v>
      </c>
      <c r="AI201" s="101">
        <v>24198.75</v>
      </c>
      <c r="AJ201" s="101">
        <v>35591.67</v>
      </c>
      <c r="AK201" s="101">
        <v>11021.45</v>
      </c>
      <c r="AL201" s="101">
        <v>121739.79</v>
      </c>
      <c r="AM201" s="101">
        <v>64645.22</v>
      </c>
      <c r="AN201" s="101">
        <v>-86148.12</v>
      </c>
      <c r="AO201" s="101">
        <v>0</v>
      </c>
      <c r="AP201" s="101">
        <v>0</v>
      </c>
      <c r="AQ201" s="101">
        <v>0</v>
      </c>
      <c r="AR201" s="101">
        <v>0</v>
      </c>
      <c r="AS201" s="101">
        <v>0</v>
      </c>
      <c r="AT201" s="101">
        <v>-86148.12</v>
      </c>
      <c r="AU201" s="101">
        <v>1746.54</v>
      </c>
    </row>
    <row r="202" spans="1:47">
      <c r="A202" s="102" t="s">
        <v>900</v>
      </c>
      <c r="B202" s="102" t="e">
        <v>#N/A</v>
      </c>
      <c r="C202" s="101">
        <v>0</v>
      </c>
      <c r="D202" s="101">
        <v>0</v>
      </c>
      <c r="E202" s="101">
        <v>0</v>
      </c>
      <c r="F202" s="101">
        <v>304250</v>
      </c>
      <c r="G202" s="101">
        <v>0</v>
      </c>
      <c r="H202" s="101">
        <v>274438.62</v>
      </c>
      <c r="I202" s="101">
        <v>78500</v>
      </c>
      <c r="J202" s="101">
        <v>29811.38</v>
      </c>
      <c r="K202" s="101">
        <v>0</v>
      </c>
      <c r="L202" s="101">
        <v>11550</v>
      </c>
      <c r="M202" s="101">
        <v>0</v>
      </c>
      <c r="N202" s="101">
        <v>0</v>
      </c>
      <c r="O202" s="101">
        <v>0</v>
      </c>
      <c r="P202" s="101">
        <v>18261.38</v>
      </c>
      <c r="Q202" s="101">
        <v>0</v>
      </c>
      <c r="R202" s="101">
        <v>0</v>
      </c>
      <c r="S202" s="101">
        <v>0</v>
      </c>
      <c r="T202" s="101">
        <v>0</v>
      </c>
      <c r="U202" s="101">
        <v>502100</v>
      </c>
      <c r="V202" s="101">
        <v>0</v>
      </c>
      <c r="W202" s="101">
        <v>479666.92</v>
      </c>
      <c r="X202" s="101">
        <v>133600</v>
      </c>
      <c r="Y202" s="101">
        <v>22433.08</v>
      </c>
      <c r="Z202" s="101">
        <v>0</v>
      </c>
      <c r="AA202" s="101">
        <v>19800</v>
      </c>
      <c r="AB202" s="101">
        <v>0</v>
      </c>
      <c r="AC202" s="101">
        <v>0</v>
      </c>
      <c r="AD202" s="101">
        <v>0</v>
      </c>
      <c r="AE202" s="101">
        <v>2633.08</v>
      </c>
      <c r="AF202" s="101">
        <v>0</v>
      </c>
      <c r="AG202" s="101">
        <v>0</v>
      </c>
      <c r="AH202" s="101">
        <v>0</v>
      </c>
      <c r="AI202" s="101">
        <v>0</v>
      </c>
      <c r="AJ202" s="101">
        <v>0</v>
      </c>
      <c r="AK202" s="101">
        <v>0</v>
      </c>
      <c r="AL202" s="101">
        <v>41648.080000000002</v>
      </c>
      <c r="AM202" s="101">
        <v>24497.9</v>
      </c>
      <c r="AN202" s="101">
        <v>-41648.080000000002</v>
      </c>
      <c r="AO202" s="101">
        <v>0</v>
      </c>
      <c r="AP202" s="101">
        <v>0</v>
      </c>
      <c r="AQ202" s="101">
        <v>0</v>
      </c>
      <c r="AR202" s="101">
        <v>0</v>
      </c>
      <c r="AS202" s="101">
        <v>0</v>
      </c>
      <c r="AT202" s="101">
        <v>-41648.080000000002</v>
      </c>
      <c r="AU202" s="101">
        <v>0</v>
      </c>
    </row>
    <row r="203" spans="1:47">
      <c r="A203" s="102" t="s">
        <v>889</v>
      </c>
      <c r="B203" s="102" t="e">
        <v>#N/A</v>
      </c>
      <c r="C203" s="101">
        <v>26834</v>
      </c>
      <c r="D203" s="101">
        <v>47594</v>
      </c>
      <c r="E203" s="101">
        <v>1871603.89</v>
      </c>
      <c r="F203" s="101">
        <v>4420654.26</v>
      </c>
      <c r="G203" s="101">
        <v>1397542.16</v>
      </c>
      <c r="H203" s="101">
        <v>4423914.26</v>
      </c>
      <c r="I203" s="101">
        <v>1556731.05</v>
      </c>
      <c r="J203" s="101">
        <v>-3260</v>
      </c>
      <c r="K203" s="101">
        <v>6868.01</v>
      </c>
      <c r="L203" s="101">
        <v>79916.69</v>
      </c>
      <c r="M203" s="101">
        <v>0</v>
      </c>
      <c r="N203" s="101">
        <v>0</v>
      </c>
      <c r="O203" s="101">
        <v>0</v>
      </c>
      <c r="P203" s="101">
        <v>-90044.7</v>
      </c>
      <c r="Q203" s="101">
        <v>168448.59</v>
      </c>
      <c r="R203" s="101">
        <v>42179</v>
      </c>
      <c r="S203" s="101">
        <v>75644</v>
      </c>
      <c r="T203" s="101">
        <v>3287980.57</v>
      </c>
      <c r="U203" s="101">
        <v>7701532.5199999986</v>
      </c>
      <c r="V203" s="101">
        <v>2512616.2799999998</v>
      </c>
      <c r="W203" s="101">
        <v>7671599.1700000009</v>
      </c>
      <c r="X203" s="101">
        <v>2753565.1</v>
      </c>
      <c r="Y203" s="101">
        <v>29933.35</v>
      </c>
      <c r="Z203" s="101">
        <v>17628.669999999998</v>
      </c>
      <c r="AA203" s="101">
        <v>137000.04</v>
      </c>
      <c r="AB203" s="101">
        <v>0</v>
      </c>
      <c r="AC203" s="101">
        <v>0</v>
      </c>
      <c r="AD203" s="101">
        <v>0</v>
      </c>
      <c r="AE203" s="101">
        <v>-124695.36</v>
      </c>
      <c r="AF203" s="101">
        <v>298043.28999999998</v>
      </c>
      <c r="AG203" s="101">
        <v>27179</v>
      </c>
      <c r="AH203" s="101">
        <v>31376</v>
      </c>
      <c r="AI203" s="101">
        <v>1895507.94</v>
      </c>
      <c r="AJ203" s="101">
        <v>4232835.1399999997</v>
      </c>
      <c r="AK203" s="101">
        <v>1365071.79</v>
      </c>
      <c r="AL203" s="101">
        <v>4321823.9400000013</v>
      </c>
      <c r="AM203" s="101">
        <v>1508074.73</v>
      </c>
      <c r="AN203" s="101">
        <v>-88988.800000000003</v>
      </c>
      <c r="AO203" s="101">
        <v>0</v>
      </c>
      <c r="AP203" s="101">
        <v>0</v>
      </c>
      <c r="AQ203" s="101">
        <v>0</v>
      </c>
      <c r="AR203" s="101">
        <v>0</v>
      </c>
      <c r="AS203" s="101">
        <v>0</v>
      </c>
      <c r="AT203" s="101">
        <v>-88988.800000000003</v>
      </c>
      <c r="AU203" s="101">
        <v>172262.19</v>
      </c>
    </row>
    <row r="204" spans="1:47">
      <c r="A204" s="102" t="s">
        <v>1038</v>
      </c>
      <c r="B204" s="102" t="e">
        <v>#N/A</v>
      </c>
      <c r="C204" s="101">
        <v>75332</v>
      </c>
      <c r="D204" s="101">
        <v>128285</v>
      </c>
      <c r="E204" s="101">
        <v>4900563.9900000012</v>
      </c>
      <c r="F204" s="101">
        <v>9118716.6400000025</v>
      </c>
      <c r="G204" s="101">
        <v>2575758.1</v>
      </c>
      <c r="H204" s="101">
        <v>8236973.3200000003</v>
      </c>
      <c r="I204" s="101">
        <v>3006894.21</v>
      </c>
      <c r="J204" s="101">
        <v>881743.32</v>
      </c>
      <c r="K204" s="101">
        <v>10053.01</v>
      </c>
      <c r="L204" s="101">
        <v>189487.23</v>
      </c>
      <c r="M204" s="101">
        <v>0</v>
      </c>
      <c r="N204" s="101">
        <v>0</v>
      </c>
      <c r="O204" s="101">
        <v>0</v>
      </c>
      <c r="P204" s="101">
        <v>682203.08</v>
      </c>
      <c r="Q204" s="101">
        <v>450288.01</v>
      </c>
      <c r="R204" s="101">
        <v>126110</v>
      </c>
      <c r="S204" s="101">
        <v>210705</v>
      </c>
      <c r="T204" s="101">
        <v>8956251.2699999996</v>
      </c>
      <c r="U204" s="101">
        <v>16463903.259999998</v>
      </c>
      <c r="V204" s="101">
        <v>4774196.0199999996</v>
      </c>
      <c r="W204" s="101">
        <v>14507486.969999999</v>
      </c>
      <c r="X204" s="101">
        <v>5405094.660000002</v>
      </c>
      <c r="Y204" s="101">
        <v>1956416.29</v>
      </c>
      <c r="Z204" s="101">
        <v>23088.67</v>
      </c>
      <c r="AA204" s="101">
        <v>324835.58</v>
      </c>
      <c r="AB204" s="101">
        <v>0</v>
      </c>
      <c r="AC204" s="101">
        <v>0</v>
      </c>
      <c r="AD204" s="101">
        <v>0</v>
      </c>
      <c r="AE204" s="101">
        <v>1608492.04</v>
      </c>
      <c r="AF204" s="101">
        <v>847851.5</v>
      </c>
      <c r="AG204" s="101">
        <v>53140</v>
      </c>
      <c r="AH204" s="101">
        <v>112067</v>
      </c>
      <c r="AI204" s="101">
        <v>3509351.13</v>
      </c>
      <c r="AJ204" s="101">
        <v>6404357.4200000009</v>
      </c>
      <c r="AK204" s="101">
        <v>1858461.47</v>
      </c>
      <c r="AL204" s="101">
        <v>5925540.4400000013</v>
      </c>
      <c r="AM204" s="101">
        <v>2238833.63</v>
      </c>
      <c r="AN204" s="101">
        <v>478816.98</v>
      </c>
      <c r="AO204" s="101">
        <v>0</v>
      </c>
      <c r="AP204" s="101">
        <v>0</v>
      </c>
      <c r="AQ204" s="101">
        <v>0</v>
      </c>
      <c r="AR204" s="101">
        <v>0</v>
      </c>
      <c r="AS204" s="101">
        <v>0</v>
      </c>
      <c r="AT204" s="101">
        <v>478816.98</v>
      </c>
      <c r="AU204" s="101">
        <v>261813.67</v>
      </c>
    </row>
    <row r="205" spans="1:47">
      <c r="A205" s="102" t="s">
        <v>1039</v>
      </c>
      <c r="B205" s="102" t="e">
        <v>#N/A</v>
      </c>
      <c r="C205" s="101">
        <v>199413.19</v>
      </c>
      <c r="D205" s="101">
        <v>350313</v>
      </c>
      <c r="E205" s="101">
        <v>11939904.57</v>
      </c>
      <c r="F205" s="101">
        <v>19874950.240000006</v>
      </c>
      <c r="G205" s="101">
        <v>5622907.830000001</v>
      </c>
      <c r="H205" s="101">
        <v>16306567.289999999</v>
      </c>
      <c r="I205" s="101">
        <v>6386849.4500000002</v>
      </c>
      <c r="J205" s="101">
        <v>3568382.9499999979</v>
      </c>
      <c r="K205" s="101">
        <v>210506.43</v>
      </c>
      <c r="L205" s="101">
        <v>420809.23</v>
      </c>
      <c r="M205" s="101">
        <v>0</v>
      </c>
      <c r="N205" s="101">
        <v>0</v>
      </c>
      <c r="O205" s="101">
        <v>0</v>
      </c>
      <c r="P205" s="101">
        <v>2937067.2899999982</v>
      </c>
      <c r="Q205" s="101">
        <v>950712.22</v>
      </c>
      <c r="R205" s="101">
        <v>343325.22</v>
      </c>
      <c r="S205" s="101">
        <v>592750</v>
      </c>
      <c r="T205" s="101">
        <v>21453510.84</v>
      </c>
      <c r="U205" s="101">
        <v>35564088.57</v>
      </c>
      <c r="V205" s="101">
        <v>10233956.91</v>
      </c>
      <c r="W205" s="101">
        <v>28497940.230000004</v>
      </c>
      <c r="X205" s="101">
        <v>11215488.310000001</v>
      </c>
      <c r="Y205" s="101">
        <v>7066148.3400000026</v>
      </c>
      <c r="Z205" s="101">
        <v>363599.39</v>
      </c>
      <c r="AA205" s="101">
        <v>721387.58</v>
      </c>
      <c r="AB205" s="101">
        <v>0</v>
      </c>
      <c r="AC205" s="101">
        <v>0</v>
      </c>
      <c r="AD205" s="101">
        <v>0</v>
      </c>
      <c r="AE205" s="101">
        <v>5981161.370000002</v>
      </c>
      <c r="AF205" s="101">
        <v>1855029.12</v>
      </c>
      <c r="AG205" s="101">
        <v>200101</v>
      </c>
      <c r="AH205" s="101">
        <v>407807</v>
      </c>
      <c r="AI205" s="101">
        <v>11313585.84</v>
      </c>
      <c r="AJ205" s="101">
        <v>17836889.289999999</v>
      </c>
      <c r="AK205" s="101">
        <v>4724109.8000000007</v>
      </c>
      <c r="AL205" s="101">
        <v>14247688.119999997</v>
      </c>
      <c r="AM205" s="101">
        <v>5681209.3899999997</v>
      </c>
      <c r="AN205" s="101">
        <v>3589201.1700000018</v>
      </c>
      <c r="AO205" s="101">
        <v>85074.42</v>
      </c>
      <c r="AP205" s="101">
        <v>197668.81</v>
      </c>
      <c r="AQ205" s="101">
        <v>0</v>
      </c>
      <c r="AR205" s="101">
        <v>0</v>
      </c>
      <c r="AS205" s="101">
        <v>0</v>
      </c>
      <c r="AT205" s="101">
        <v>3306457.9400000009</v>
      </c>
      <c r="AU205" s="101">
        <v>861344.16</v>
      </c>
    </row>
    <row r="206" spans="1:47">
      <c r="A206" s="102" t="s">
        <v>490</v>
      </c>
      <c r="B206" s="102" t="s">
        <v>491</v>
      </c>
      <c r="C206" s="101">
        <v>13477</v>
      </c>
      <c r="D206" s="101">
        <v>16960</v>
      </c>
      <c r="E206" s="101">
        <v>1087389.04</v>
      </c>
      <c r="F206" s="101">
        <v>2006229.82</v>
      </c>
      <c r="G206" s="101">
        <v>573303.78</v>
      </c>
      <c r="H206" s="101">
        <v>1168549.78</v>
      </c>
      <c r="I206" s="101">
        <v>0</v>
      </c>
      <c r="J206" s="101">
        <v>837680.04</v>
      </c>
      <c r="K206" s="101">
        <v>363586.44</v>
      </c>
      <c r="L206" s="101">
        <v>0</v>
      </c>
      <c r="M206" s="101">
        <v>0</v>
      </c>
      <c r="N206" s="101">
        <v>0</v>
      </c>
      <c r="O206" s="101">
        <v>0</v>
      </c>
      <c r="P206" s="101">
        <v>474093.6</v>
      </c>
      <c r="Q206" s="101">
        <v>164410.12</v>
      </c>
      <c r="R206" s="101">
        <v>23759</v>
      </c>
      <c r="S206" s="101">
        <v>29200</v>
      </c>
      <c r="T206" s="101">
        <v>1991666.09</v>
      </c>
      <c r="U206" s="101">
        <v>3794678.850000001</v>
      </c>
      <c r="V206" s="101">
        <v>1029652.76</v>
      </c>
      <c r="W206" s="101">
        <v>2098362.2200000002</v>
      </c>
      <c r="X206" s="101">
        <v>0</v>
      </c>
      <c r="Y206" s="101">
        <v>1696316.63</v>
      </c>
      <c r="Z206" s="101">
        <v>623291.04</v>
      </c>
      <c r="AA206" s="101">
        <v>0</v>
      </c>
      <c r="AB206" s="101">
        <v>0</v>
      </c>
      <c r="AC206" s="101">
        <v>0</v>
      </c>
      <c r="AD206" s="101">
        <v>0</v>
      </c>
      <c r="AE206" s="101">
        <v>1073025.5900000001</v>
      </c>
      <c r="AF206" s="101">
        <v>309551.32</v>
      </c>
      <c r="AG206" s="101">
        <v>12766</v>
      </c>
      <c r="AH206" s="101">
        <v>16960</v>
      </c>
      <c r="AI206" s="101">
        <v>1069108.67</v>
      </c>
      <c r="AJ206" s="101">
        <v>2002804.98</v>
      </c>
      <c r="AK206" s="101">
        <v>526627.29</v>
      </c>
      <c r="AL206" s="101">
        <v>1211896.8</v>
      </c>
      <c r="AM206" s="101">
        <v>0</v>
      </c>
      <c r="AN206" s="101">
        <v>790908.18</v>
      </c>
      <c r="AO206" s="101">
        <v>362947.34</v>
      </c>
      <c r="AP206" s="101">
        <v>3692.14</v>
      </c>
      <c r="AQ206" s="101">
        <v>7813.67</v>
      </c>
      <c r="AR206" s="101">
        <v>0</v>
      </c>
      <c r="AS206" s="101">
        <v>0</v>
      </c>
      <c r="AT206" s="101">
        <v>416455.03</v>
      </c>
      <c r="AU206" s="101">
        <v>167644.20000000001</v>
      </c>
    </row>
    <row r="207" spans="1:47">
      <c r="A207" s="102" t="s">
        <v>1040</v>
      </c>
      <c r="B207" s="102" t="e">
        <v>#N/A</v>
      </c>
      <c r="C207" s="101">
        <v>73301</v>
      </c>
      <c r="D207" s="101">
        <v>99216</v>
      </c>
      <c r="E207" s="101">
        <v>10882528.869999999</v>
      </c>
      <c r="F207" s="101">
        <v>16782120.409999996</v>
      </c>
      <c r="G207" s="101">
        <v>4552668.1500000013</v>
      </c>
      <c r="H207" s="101">
        <v>8476557.8600000013</v>
      </c>
      <c r="I207" s="101">
        <v>3286671.37</v>
      </c>
      <c r="J207" s="101">
        <v>8305562.5499999998</v>
      </c>
      <c r="K207" s="101">
        <v>305319.95</v>
      </c>
      <c r="L207" s="101">
        <v>164500</v>
      </c>
      <c r="M207" s="101">
        <v>0</v>
      </c>
      <c r="N207" s="101">
        <v>0</v>
      </c>
      <c r="O207" s="101">
        <v>0</v>
      </c>
      <c r="P207" s="101">
        <v>7835742.6000000006</v>
      </c>
      <c r="Q207" s="101">
        <v>651124.99</v>
      </c>
      <c r="R207" s="101">
        <v>125042</v>
      </c>
      <c r="S207" s="101">
        <v>170820</v>
      </c>
      <c r="T207" s="101">
        <v>19470742.379999999</v>
      </c>
      <c r="U207" s="101">
        <v>29347275.499999996</v>
      </c>
      <c r="V207" s="101">
        <v>7573766.790000001</v>
      </c>
      <c r="W207" s="101">
        <v>14526995.249999998</v>
      </c>
      <c r="X207" s="101">
        <v>5668565.9199999999</v>
      </c>
      <c r="Y207" s="101">
        <v>14820280.249999994</v>
      </c>
      <c r="Z207" s="101">
        <v>523327.88</v>
      </c>
      <c r="AA207" s="101">
        <v>282000</v>
      </c>
      <c r="AB207" s="101">
        <v>0</v>
      </c>
      <c r="AC207" s="101">
        <v>0</v>
      </c>
      <c r="AD207" s="101">
        <v>0</v>
      </c>
      <c r="AE207" s="101">
        <v>14014952.369999997</v>
      </c>
      <c r="AF207" s="101">
        <v>1368763.17</v>
      </c>
      <c r="AG207" s="101">
        <v>70024</v>
      </c>
      <c r="AH207" s="101">
        <v>14508</v>
      </c>
      <c r="AI207" s="101">
        <v>11255411.65</v>
      </c>
      <c r="AJ207" s="101">
        <v>16927347.470000003</v>
      </c>
      <c r="AK207" s="101">
        <v>4223050.17</v>
      </c>
      <c r="AL207" s="101">
        <v>8949156.9799999986</v>
      </c>
      <c r="AM207" s="101">
        <v>0</v>
      </c>
      <c r="AN207" s="101">
        <v>7978190.4899999984</v>
      </c>
      <c r="AO207" s="101">
        <v>312545.24</v>
      </c>
      <c r="AP207" s="101">
        <v>164500</v>
      </c>
      <c r="AQ207" s="101">
        <v>0</v>
      </c>
      <c r="AR207" s="101">
        <v>0</v>
      </c>
      <c r="AS207" s="101">
        <v>0</v>
      </c>
      <c r="AT207" s="101">
        <v>7501145.25</v>
      </c>
      <c r="AU207" s="101">
        <v>747819.5</v>
      </c>
    </row>
    <row r="208" spans="1:47">
      <c r="A208" s="102" t="s">
        <v>1041</v>
      </c>
      <c r="B208" s="102" t="e">
        <v>#N/A</v>
      </c>
      <c r="C208" s="101">
        <v>23424</v>
      </c>
      <c r="D208" s="101">
        <v>58936</v>
      </c>
      <c r="E208" s="101">
        <v>2551646.7000000002</v>
      </c>
      <c r="F208" s="101">
        <v>3851093.97</v>
      </c>
      <c r="G208" s="101">
        <v>1005057.97</v>
      </c>
      <c r="H208" s="101">
        <v>2410602.7800000012</v>
      </c>
      <c r="I208" s="101">
        <v>741899.49</v>
      </c>
      <c r="J208" s="101">
        <v>1440491.19</v>
      </c>
      <c r="K208" s="101">
        <v>0</v>
      </c>
      <c r="L208" s="101">
        <v>65275</v>
      </c>
      <c r="M208" s="101">
        <v>0</v>
      </c>
      <c r="N208" s="101">
        <v>0</v>
      </c>
      <c r="O208" s="101">
        <v>0</v>
      </c>
      <c r="P208" s="101">
        <v>1375216.19</v>
      </c>
      <c r="Q208" s="101">
        <v>273987.45</v>
      </c>
      <c r="R208" s="101">
        <v>46616</v>
      </c>
      <c r="S208" s="101">
        <v>101470</v>
      </c>
      <c r="T208" s="101">
        <v>5148072.5599999996</v>
      </c>
      <c r="U208" s="101">
        <v>7621106.8700000001</v>
      </c>
      <c r="V208" s="101">
        <v>1933802.42</v>
      </c>
      <c r="W208" s="101">
        <v>4458363.25</v>
      </c>
      <c r="X208" s="101">
        <v>1321740.3400000001</v>
      </c>
      <c r="Y208" s="101">
        <v>3162743.62</v>
      </c>
      <c r="Z208" s="101">
        <v>0</v>
      </c>
      <c r="AA208" s="101">
        <v>111900</v>
      </c>
      <c r="AB208" s="101">
        <v>0</v>
      </c>
      <c r="AC208" s="101">
        <v>0</v>
      </c>
      <c r="AD208" s="101">
        <v>0</v>
      </c>
      <c r="AE208" s="101">
        <v>3050843.62</v>
      </c>
      <c r="AF208" s="101">
        <v>576535.06000000006</v>
      </c>
      <c r="AG208" s="101">
        <v>16029</v>
      </c>
      <c r="AH208" s="101">
        <v>58936</v>
      </c>
      <c r="AI208" s="101">
        <v>1658604.85</v>
      </c>
      <c r="AJ208" s="101">
        <v>3525088.4200000009</v>
      </c>
      <c r="AK208" s="101">
        <v>1489705</v>
      </c>
      <c r="AL208" s="101">
        <v>3108651.24</v>
      </c>
      <c r="AM208" s="101">
        <v>0</v>
      </c>
      <c r="AN208" s="101">
        <v>416437.18</v>
      </c>
      <c r="AO208" s="101">
        <v>60128.74</v>
      </c>
      <c r="AP208" s="101">
        <v>0</v>
      </c>
      <c r="AQ208" s="101">
        <v>73942.84</v>
      </c>
      <c r="AR208" s="101">
        <v>0</v>
      </c>
      <c r="AS208" s="101">
        <v>0</v>
      </c>
      <c r="AT208" s="101">
        <v>282365.59999999998</v>
      </c>
      <c r="AU208" s="101">
        <v>109321.62</v>
      </c>
    </row>
    <row r="209" spans="1:47">
      <c r="A209" s="102" t="s">
        <v>501</v>
      </c>
      <c r="B209" s="102" t="s">
        <v>502</v>
      </c>
      <c r="C209" s="101">
        <v>34836</v>
      </c>
      <c r="D209" s="101">
        <v>42400</v>
      </c>
      <c r="E209" s="101">
        <v>4341410.2319807997</v>
      </c>
      <c r="F209" s="101">
        <v>5089203.4801766397</v>
      </c>
      <c r="G209" s="101">
        <v>481716.01171584002</v>
      </c>
      <c r="H209" s="101">
        <v>2324055.8890982401</v>
      </c>
      <c r="I209" s="101">
        <v>972233.07075840002</v>
      </c>
      <c r="J209" s="101">
        <v>2765147.5910784001</v>
      </c>
      <c r="K209" s="101">
        <v>0</v>
      </c>
      <c r="L209" s="101">
        <v>324440.5785984</v>
      </c>
      <c r="M209" s="101">
        <v>0</v>
      </c>
      <c r="N209" s="101">
        <v>0</v>
      </c>
      <c r="O209" s="101">
        <v>0</v>
      </c>
      <c r="P209" s="101">
        <v>2440707.01248</v>
      </c>
      <c r="Q209" s="101">
        <v>-211862.96393855999</v>
      </c>
      <c r="R209" s="101">
        <v>60074</v>
      </c>
      <c r="S209" s="101">
        <v>73000</v>
      </c>
      <c r="T209" s="101">
        <v>7419735.8817331214</v>
      </c>
      <c r="U209" s="101">
        <v>8654008.158005761</v>
      </c>
      <c r="V209" s="101">
        <v>826063.24356863997</v>
      </c>
      <c r="W209" s="101">
        <v>4026708.7306828802</v>
      </c>
      <c r="X209" s="101">
        <v>1670381.0686464</v>
      </c>
      <c r="Y209" s="101">
        <v>4627299.4273228813</v>
      </c>
      <c r="Z209" s="101">
        <v>0</v>
      </c>
      <c r="AA209" s="101">
        <v>561377.27162879996</v>
      </c>
      <c r="AB209" s="101">
        <v>0</v>
      </c>
      <c r="AC209" s="101">
        <v>0</v>
      </c>
      <c r="AD209" s="101">
        <v>0</v>
      </c>
      <c r="AE209" s="101">
        <v>4065922.155694081</v>
      </c>
      <c r="AF209" s="101">
        <v>-501290.00017536001</v>
      </c>
      <c r="AG209" s="101">
        <v>36522</v>
      </c>
      <c r="AH209" s="101">
        <v>42400</v>
      </c>
      <c r="AI209" s="101">
        <v>4502813.7185540013</v>
      </c>
      <c r="AJ209" s="101">
        <v>5321039.1647999994</v>
      </c>
      <c r="AK209" s="101">
        <v>492024.12264399999</v>
      </c>
      <c r="AL209" s="101">
        <v>2584272.8072520001</v>
      </c>
      <c r="AM209" s="101">
        <v>957083.91815200006</v>
      </c>
      <c r="AN209" s="101">
        <v>2736766.3575479989</v>
      </c>
      <c r="AO209" s="101">
        <v>0</v>
      </c>
      <c r="AP209" s="101">
        <v>303547.20879399998</v>
      </c>
      <c r="AQ209" s="101">
        <v>-22494.919839999999</v>
      </c>
      <c r="AR209" s="101">
        <v>0</v>
      </c>
      <c r="AS209" s="101">
        <v>0</v>
      </c>
      <c r="AT209" s="101">
        <v>2455714.068593998</v>
      </c>
      <c r="AU209" s="101">
        <v>-278615.996292</v>
      </c>
    </row>
    <row r="210" spans="1:47">
      <c r="A210" s="102" t="s">
        <v>1042</v>
      </c>
      <c r="B210" s="102" t="e">
        <v>#N/A</v>
      </c>
      <c r="C210" s="101">
        <v>0</v>
      </c>
      <c r="D210" s="101">
        <v>0</v>
      </c>
      <c r="E210" s="101">
        <v>0</v>
      </c>
      <c r="F210" s="101">
        <v>0</v>
      </c>
      <c r="G210" s="101">
        <v>0</v>
      </c>
      <c r="H210" s="101">
        <v>0</v>
      </c>
      <c r="I210" s="101">
        <v>0</v>
      </c>
      <c r="J210" s="101">
        <v>0</v>
      </c>
      <c r="K210" s="101">
        <v>0</v>
      </c>
      <c r="L210" s="101">
        <v>0</v>
      </c>
      <c r="M210" s="101">
        <v>0</v>
      </c>
      <c r="N210" s="101">
        <v>0</v>
      </c>
      <c r="O210" s="101">
        <v>0</v>
      </c>
      <c r="P210" s="101">
        <v>0</v>
      </c>
      <c r="Q210" s="101">
        <v>0</v>
      </c>
      <c r="R210" s="101">
        <v>0</v>
      </c>
      <c r="S210" s="101">
        <v>0</v>
      </c>
      <c r="T210" s="101">
        <v>0</v>
      </c>
      <c r="U210" s="101">
        <v>0</v>
      </c>
      <c r="V210" s="101">
        <v>0</v>
      </c>
      <c r="W210" s="101">
        <v>0</v>
      </c>
      <c r="X210" s="101">
        <v>0</v>
      </c>
      <c r="Y210" s="101">
        <v>0</v>
      </c>
      <c r="Z210" s="101">
        <v>0</v>
      </c>
      <c r="AA210" s="101">
        <v>0</v>
      </c>
      <c r="AB210" s="101">
        <v>0</v>
      </c>
      <c r="AC210" s="101">
        <v>0</v>
      </c>
      <c r="AD210" s="101">
        <v>0</v>
      </c>
      <c r="AE210" s="101">
        <v>0</v>
      </c>
      <c r="AF210" s="101">
        <v>0</v>
      </c>
      <c r="AG210" s="101">
        <v>5064</v>
      </c>
      <c r="AH210" s="101">
        <v>0</v>
      </c>
      <c r="AI210" s="101">
        <v>1133148.9099999999</v>
      </c>
      <c r="AJ210" s="101">
        <v>1422652.35</v>
      </c>
      <c r="AK210" s="101">
        <v>129907.76</v>
      </c>
      <c r="AL210" s="101">
        <v>-180.01</v>
      </c>
      <c r="AM210" s="101">
        <v>0</v>
      </c>
      <c r="AN210" s="101">
        <v>1422832.36</v>
      </c>
      <c r="AO210" s="101">
        <v>0</v>
      </c>
      <c r="AP210" s="101">
        <v>-3388.05</v>
      </c>
      <c r="AQ210" s="101">
        <v>0</v>
      </c>
      <c r="AR210" s="101">
        <v>0</v>
      </c>
      <c r="AS210" s="101">
        <v>0</v>
      </c>
      <c r="AT210" s="101">
        <v>1426220.41</v>
      </c>
      <c r="AU210" s="101">
        <v>0</v>
      </c>
    </row>
    <row r="211" spans="1:47">
      <c r="A211" s="102" t="s">
        <v>1043</v>
      </c>
      <c r="B211" s="102" t="e">
        <v>#N/A</v>
      </c>
      <c r="C211" s="101">
        <v>0</v>
      </c>
      <c r="D211" s="101">
        <v>0</v>
      </c>
      <c r="E211" s="101">
        <v>0</v>
      </c>
      <c r="F211" s="101">
        <v>0</v>
      </c>
      <c r="G211" s="101">
        <v>0</v>
      </c>
      <c r="H211" s="101">
        <v>0</v>
      </c>
      <c r="I211" s="101">
        <v>741899.49</v>
      </c>
      <c r="J211" s="101">
        <v>0</v>
      </c>
      <c r="K211" s="101">
        <v>0</v>
      </c>
      <c r="L211" s="101">
        <v>0</v>
      </c>
      <c r="M211" s="101">
        <v>0</v>
      </c>
      <c r="N211" s="101">
        <v>0</v>
      </c>
      <c r="O211" s="101">
        <v>0</v>
      </c>
      <c r="P211" s="101">
        <v>0</v>
      </c>
      <c r="Q211" s="101">
        <v>0</v>
      </c>
      <c r="R211" s="101">
        <v>0</v>
      </c>
      <c r="S211" s="101">
        <v>0</v>
      </c>
      <c r="T211" s="101">
        <v>0</v>
      </c>
      <c r="U211" s="101">
        <v>0</v>
      </c>
      <c r="V211" s="101">
        <v>0</v>
      </c>
      <c r="W211" s="101">
        <v>-0.04</v>
      </c>
      <c r="X211" s="101">
        <v>1321740.3400000001</v>
      </c>
      <c r="Y211" s="101">
        <v>0.04</v>
      </c>
      <c r="Z211" s="101">
        <v>0</v>
      </c>
      <c r="AA211" s="101">
        <v>0</v>
      </c>
      <c r="AB211" s="101">
        <v>0</v>
      </c>
      <c r="AC211" s="101">
        <v>0</v>
      </c>
      <c r="AD211" s="101">
        <v>0</v>
      </c>
      <c r="AE211" s="101">
        <v>0.04</v>
      </c>
      <c r="AF211" s="101">
        <v>0</v>
      </c>
      <c r="AG211" s="101">
        <v>0</v>
      </c>
      <c r="AH211" s="101">
        <v>0</v>
      </c>
      <c r="AI211" s="101">
        <v>0</v>
      </c>
      <c r="AJ211" s="101">
        <v>0</v>
      </c>
      <c r="AK211" s="101">
        <v>0</v>
      </c>
      <c r="AL211" s="101">
        <v>-1848.05</v>
      </c>
      <c r="AM211" s="101">
        <v>1272385.56</v>
      </c>
      <c r="AN211" s="101">
        <v>1848.05</v>
      </c>
      <c r="AO211" s="101">
        <v>0</v>
      </c>
      <c r="AP211" s="101">
        <v>0</v>
      </c>
      <c r="AQ211" s="101">
        <v>0</v>
      </c>
      <c r="AR211" s="101">
        <v>0</v>
      </c>
      <c r="AS211" s="101">
        <v>0</v>
      </c>
      <c r="AT211" s="101">
        <v>1848.05</v>
      </c>
      <c r="AU211" s="101">
        <v>0</v>
      </c>
    </row>
    <row r="212" spans="1:47">
      <c r="A212" s="102" t="s">
        <v>1044</v>
      </c>
      <c r="B212" s="102" t="e">
        <v>#N/A</v>
      </c>
      <c r="C212" s="101">
        <v>145038</v>
      </c>
      <c r="D212" s="101">
        <v>217512</v>
      </c>
      <c r="E212" s="101">
        <v>18862974.8419808</v>
      </c>
      <c r="F212" s="101">
        <v>27728647.680176642</v>
      </c>
      <c r="G212" s="101">
        <v>6612745.91171584</v>
      </c>
      <c r="H212" s="101">
        <v>14379766.30909824</v>
      </c>
      <c r="I212" s="101">
        <v>5742703.420758401</v>
      </c>
      <c r="J212" s="101">
        <v>13348881.371078404</v>
      </c>
      <c r="K212" s="101">
        <v>668906.39</v>
      </c>
      <c r="L212" s="101">
        <v>554215.5785984</v>
      </c>
      <c r="M212" s="101">
        <v>0</v>
      </c>
      <c r="N212" s="101">
        <v>0</v>
      </c>
      <c r="O212" s="101">
        <v>0</v>
      </c>
      <c r="P212" s="101">
        <v>12125759.402480002</v>
      </c>
      <c r="Q212" s="101">
        <v>877659.59606143995</v>
      </c>
      <c r="R212" s="101">
        <v>255491</v>
      </c>
      <c r="S212" s="101">
        <v>374490</v>
      </c>
      <c r="T212" s="101">
        <v>34030216.911733121</v>
      </c>
      <c r="U212" s="101">
        <v>49417069.378005758</v>
      </c>
      <c r="V212" s="101">
        <v>11363285.213568641</v>
      </c>
      <c r="W212" s="101">
        <v>25110429.410682876</v>
      </c>
      <c r="X212" s="101">
        <v>9982427.6686464027</v>
      </c>
      <c r="Y212" s="101">
        <v>24306639.967322879</v>
      </c>
      <c r="Z212" s="101">
        <v>1146618.92</v>
      </c>
      <c r="AA212" s="101">
        <v>955277.27162879996</v>
      </c>
      <c r="AB212" s="101">
        <v>0</v>
      </c>
      <c r="AC212" s="101">
        <v>0</v>
      </c>
      <c r="AD212" s="101">
        <v>0</v>
      </c>
      <c r="AE212" s="101">
        <v>22204743.775694076</v>
      </c>
      <c r="AF212" s="101">
        <v>1753559.5498246399</v>
      </c>
      <c r="AG212" s="101">
        <v>140405</v>
      </c>
      <c r="AH212" s="101">
        <v>132804</v>
      </c>
      <c r="AI212" s="101">
        <v>19619087.798554</v>
      </c>
      <c r="AJ212" s="101">
        <v>29198932.384800006</v>
      </c>
      <c r="AK212" s="101">
        <v>6861314.3426440004</v>
      </c>
      <c r="AL212" s="101">
        <v>15851949.767252011</v>
      </c>
      <c r="AM212" s="101">
        <v>2229469.4781519999</v>
      </c>
      <c r="AN212" s="101">
        <v>13346982.617547996</v>
      </c>
      <c r="AO212" s="101">
        <v>735621.32</v>
      </c>
      <c r="AP212" s="101">
        <v>468351.298794</v>
      </c>
      <c r="AQ212" s="101">
        <v>59261.59016</v>
      </c>
      <c r="AR212" s="101">
        <v>0</v>
      </c>
      <c r="AS212" s="101">
        <v>0</v>
      </c>
      <c r="AT212" s="101">
        <v>12083748.408593999</v>
      </c>
      <c r="AU212" s="101">
        <v>746169.32370800001</v>
      </c>
    </row>
    <row r="213" spans="1:47">
      <c r="A213" s="102" t="s">
        <v>1045</v>
      </c>
      <c r="B213" s="102" t="e">
        <v>#N/A</v>
      </c>
      <c r="C213" s="101">
        <v>102945</v>
      </c>
      <c r="D213" s="101">
        <v>163028</v>
      </c>
      <c r="E213" s="101">
        <v>5171321.8394619999</v>
      </c>
      <c r="F213" s="101">
        <v>9295020.6726503596</v>
      </c>
      <c r="G213" s="101">
        <v>3238258.1380457799</v>
      </c>
      <c r="H213" s="101">
        <v>6923395.3701592423</v>
      </c>
      <c r="I213" s="101">
        <v>2706505.12078004</v>
      </c>
      <c r="J213" s="101">
        <v>2371625.302491121</v>
      </c>
      <c r="K213" s="101">
        <v>159853.25200000001</v>
      </c>
      <c r="L213" s="101">
        <v>10966.703356</v>
      </c>
      <c r="M213" s="101">
        <v>0</v>
      </c>
      <c r="N213" s="101">
        <v>0</v>
      </c>
      <c r="O213" s="101">
        <v>0</v>
      </c>
      <c r="P213" s="101">
        <v>2200805.347135121</v>
      </c>
      <c r="Q213" s="101">
        <v>284984.01817582001</v>
      </c>
      <c r="R213" s="101">
        <v>183170</v>
      </c>
      <c r="S213" s="101">
        <v>280685</v>
      </c>
      <c r="T213" s="101">
        <v>9299207.9296220001</v>
      </c>
      <c r="U213" s="101">
        <v>16640326.162420837</v>
      </c>
      <c r="V213" s="101">
        <v>5816129.1945431</v>
      </c>
      <c r="W213" s="101">
        <v>12099039.91882048</v>
      </c>
      <c r="X213" s="101">
        <v>4652022.9372686399</v>
      </c>
      <c r="Y213" s="101">
        <v>4541286.243600361</v>
      </c>
      <c r="Z213" s="101">
        <v>281263.110912</v>
      </c>
      <c r="AA213" s="101">
        <v>19104.194712</v>
      </c>
      <c r="AB213" s="101">
        <v>0</v>
      </c>
      <c r="AC213" s="101">
        <v>0</v>
      </c>
      <c r="AD213" s="101">
        <v>0</v>
      </c>
      <c r="AE213" s="101">
        <v>4240918.9379763603</v>
      </c>
      <c r="AF213" s="101">
        <v>498008.64137668</v>
      </c>
      <c r="AG213" s="101">
        <v>113483.48</v>
      </c>
      <c r="AH213" s="101">
        <v>182805</v>
      </c>
      <c r="AI213" s="101">
        <v>2332484.1833040002</v>
      </c>
      <c r="AJ213" s="101">
        <v>4281772.4373390013</v>
      </c>
      <c r="AK213" s="101">
        <v>1524760.469208</v>
      </c>
      <c r="AL213" s="101">
        <v>2909564.8633369999</v>
      </c>
      <c r="AM213" s="101">
        <v>979727.65644699999</v>
      </c>
      <c r="AN213" s="101">
        <v>1372207.574002</v>
      </c>
      <c r="AO213" s="101">
        <v>2069</v>
      </c>
      <c r="AP213" s="101">
        <v>22039.3763</v>
      </c>
      <c r="AQ213" s="101">
        <v>0</v>
      </c>
      <c r="AR213" s="101">
        <v>0</v>
      </c>
      <c r="AS213" s="101">
        <v>0</v>
      </c>
      <c r="AT213" s="101">
        <v>1348099.1977019999</v>
      </c>
      <c r="AU213" s="101">
        <v>158267.45738499999</v>
      </c>
    </row>
    <row r="214" spans="1:47">
      <c r="A214" s="102" t="s">
        <v>611</v>
      </c>
      <c r="B214" s="102" t="s">
        <v>612</v>
      </c>
      <c r="C214" s="101">
        <v>13129</v>
      </c>
      <c r="D214" s="101">
        <v>25016</v>
      </c>
      <c r="E214" s="101">
        <v>573215.70266399998</v>
      </c>
      <c r="F214" s="101">
        <v>808508.75942000002</v>
      </c>
      <c r="G214" s="101">
        <v>210508.96588800001</v>
      </c>
      <c r="H214" s="101">
        <v>526740.32597200002</v>
      </c>
      <c r="I214" s="101">
        <v>155378.126472</v>
      </c>
      <c r="J214" s="101">
        <v>281768.433448</v>
      </c>
      <c r="K214" s="101">
        <v>0</v>
      </c>
      <c r="L214" s="101">
        <v>2458.45964</v>
      </c>
      <c r="M214" s="101">
        <v>0</v>
      </c>
      <c r="N214" s="101">
        <v>0</v>
      </c>
      <c r="O214" s="101">
        <v>0</v>
      </c>
      <c r="P214" s="101">
        <v>279309.97380799998</v>
      </c>
      <c r="Q214" s="101">
        <v>58288.151579999998</v>
      </c>
      <c r="R214" s="101">
        <v>22396</v>
      </c>
      <c r="S214" s="101">
        <v>43070</v>
      </c>
      <c r="T214" s="101">
        <v>971277.17506399995</v>
      </c>
      <c r="U214" s="101">
        <v>1371870.342312</v>
      </c>
      <c r="V214" s="101">
        <v>359103.48258800001</v>
      </c>
      <c r="W214" s="101">
        <v>896642.56677200005</v>
      </c>
      <c r="X214" s="101">
        <v>265534.75466400001</v>
      </c>
      <c r="Y214" s="101">
        <v>475227.77554</v>
      </c>
      <c r="Z214" s="101">
        <v>0</v>
      </c>
      <c r="AA214" s="101">
        <v>4214.5022399999998</v>
      </c>
      <c r="AB214" s="101">
        <v>0</v>
      </c>
      <c r="AC214" s="101">
        <v>0</v>
      </c>
      <c r="AD214" s="101">
        <v>0</v>
      </c>
      <c r="AE214" s="101">
        <v>471013.2733</v>
      </c>
      <c r="AF214" s="101">
        <v>98686.851928000004</v>
      </c>
      <c r="AG214" s="101">
        <v>11525</v>
      </c>
      <c r="AH214" s="101">
        <v>25016</v>
      </c>
      <c r="AI214" s="101">
        <v>464544.01672199997</v>
      </c>
      <c r="AJ214" s="101">
        <v>670863.37951799994</v>
      </c>
      <c r="AK214" s="101">
        <v>183465.441054</v>
      </c>
      <c r="AL214" s="101">
        <v>475926.84732599999</v>
      </c>
      <c r="AM214" s="101">
        <v>144047.418768</v>
      </c>
      <c r="AN214" s="101">
        <v>194936.53219200001</v>
      </c>
      <c r="AO214" s="101">
        <v>0</v>
      </c>
      <c r="AP214" s="101">
        <v>2106.7714080000001</v>
      </c>
      <c r="AQ214" s="101">
        <v>0</v>
      </c>
      <c r="AR214" s="101">
        <v>0</v>
      </c>
      <c r="AS214" s="101">
        <v>0</v>
      </c>
      <c r="AT214" s="101">
        <v>192829.76078400001</v>
      </c>
      <c r="AU214" s="101">
        <v>46735.591877999999</v>
      </c>
    </row>
    <row r="215" spans="1:47">
      <c r="A215" s="102" t="s">
        <v>592</v>
      </c>
      <c r="B215" s="102" t="s">
        <v>593</v>
      </c>
      <c r="C215" s="101">
        <v>49011</v>
      </c>
      <c r="D215" s="101">
        <v>60844</v>
      </c>
      <c r="E215" s="101">
        <v>4798654.9497199999</v>
      </c>
      <c r="F215" s="101">
        <v>5992289.2916559996</v>
      </c>
      <c r="G215" s="101">
        <v>1053162.469268</v>
      </c>
      <c r="H215" s="101">
        <v>2299602.2106440002</v>
      </c>
      <c r="I215" s="101">
        <v>512666.133952</v>
      </c>
      <c r="J215" s="101">
        <v>3692687.0810119999</v>
      </c>
      <c r="K215" s="101">
        <v>1047336.33542</v>
      </c>
      <c r="L215" s="101">
        <v>0</v>
      </c>
      <c r="M215" s="101">
        <v>0</v>
      </c>
      <c r="N215" s="101">
        <v>0</v>
      </c>
      <c r="O215" s="101">
        <v>0</v>
      </c>
      <c r="P215" s="101">
        <v>2645350.745592</v>
      </c>
      <c r="Q215" s="101">
        <v>412859.943936</v>
      </c>
      <c r="R215" s="101">
        <v>84969</v>
      </c>
      <c r="S215" s="101">
        <v>104755</v>
      </c>
      <c r="T215" s="101">
        <v>8385589.915000001</v>
      </c>
      <c r="U215" s="101">
        <v>10501222.027212001</v>
      </c>
      <c r="V215" s="101">
        <v>1867474.8951320001</v>
      </c>
      <c r="W215" s="101">
        <v>3967389.337148</v>
      </c>
      <c r="X215" s="101">
        <v>879749.14283599996</v>
      </c>
      <c r="Y215" s="101">
        <v>6533832.6900640009</v>
      </c>
      <c r="Z215" s="101">
        <v>1833935.8597959999</v>
      </c>
      <c r="AA215" s="101">
        <v>0</v>
      </c>
      <c r="AB215" s="101">
        <v>0</v>
      </c>
      <c r="AC215" s="101">
        <v>0</v>
      </c>
      <c r="AD215" s="101">
        <v>0</v>
      </c>
      <c r="AE215" s="101">
        <v>4699896.8302680012</v>
      </c>
      <c r="AF215" s="101">
        <v>727288.20046800002</v>
      </c>
      <c r="AG215" s="101">
        <v>47387</v>
      </c>
      <c r="AH215" s="101">
        <v>60844</v>
      </c>
      <c r="AI215" s="101">
        <v>4826993.738454001</v>
      </c>
      <c r="AJ215" s="101">
        <v>6216618.6818100009</v>
      </c>
      <c r="AK215" s="101">
        <v>1216003.3845299999</v>
      </c>
      <c r="AL215" s="101">
        <v>2438558.4033000008</v>
      </c>
      <c r="AM215" s="101">
        <v>547781.78849399998</v>
      </c>
      <c r="AN215" s="101">
        <v>3778060.2785100001</v>
      </c>
      <c r="AO215" s="101">
        <v>1136729.0778300001</v>
      </c>
      <c r="AP215" s="101">
        <v>0</v>
      </c>
      <c r="AQ215" s="101">
        <v>0</v>
      </c>
      <c r="AR215" s="101">
        <v>0</v>
      </c>
      <c r="AS215" s="101">
        <v>0</v>
      </c>
      <c r="AT215" s="101">
        <v>2641331.2006799998</v>
      </c>
      <c r="AU215" s="101">
        <v>434106.60267599998</v>
      </c>
    </row>
    <row r="216" spans="1:47">
      <c r="A216" s="102" t="s">
        <v>559</v>
      </c>
      <c r="B216" s="102" t="s">
        <v>560</v>
      </c>
      <c r="C216" s="101">
        <v>19930</v>
      </c>
      <c r="D216" s="101">
        <v>29044</v>
      </c>
      <c r="E216" s="101">
        <v>1558259.717952</v>
      </c>
      <c r="F216" s="101">
        <v>2343335.0422760001</v>
      </c>
      <c r="G216" s="101">
        <v>715938.89272400003</v>
      </c>
      <c r="H216" s="101">
        <v>1361503.578864</v>
      </c>
      <c r="I216" s="101">
        <v>289428.31145199999</v>
      </c>
      <c r="J216" s="101">
        <v>981831.46341199998</v>
      </c>
      <c r="K216" s="101">
        <v>0</v>
      </c>
      <c r="L216" s="101">
        <v>29052.262119999999</v>
      </c>
      <c r="M216" s="101">
        <v>0</v>
      </c>
      <c r="N216" s="101">
        <v>0</v>
      </c>
      <c r="O216" s="101">
        <v>0</v>
      </c>
      <c r="P216" s="101">
        <v>952779.20129200001</v>
      </c>
      <c r="Q216" s="101">
        <v>170589.01712400001</v>
      </c>
      <c r="R216" s="101">
        <v>35503.54</v>
      </c>
      <c r="S216" s="101">
        <v>50005</v>
      </c>
      <c r="T216" s="101">
        <v>2785337.0339919999</v>
      </c>
      <c r="U216" s="101">
        <v>4192375.969244</v>
      </c>
      <c r="V216" s="101">
        <v>1283405.7188520001</v>
      </c>
      <c r="W216" s="101">
        <v>2382320.357264</v>
      </c>
      <c r="X216" s="101">
        <v>496162.819632</v>
      </c>
      <c r="Y216" s="101">
        <v>1810055.61198</v>
      </c>
      <c r="Z216" s="101">
        <v>0</v>
      </c>
      <c r="AA216" s="101">
        <v>49803.877919999999</v>
      </c>
      <c r="AB216" s="101">
        <v>0</v>
      </c>
      <c r="AC216" s="101">
        <v>0</v>
      </c>
      <c r="AD216" s="101">
        <v>0</v>
      </c>
      <c r="AE216" s="101">
        <v>1760251.7340599999</v>
      </c>
      <c r="AF216" s="101">
        <v>310281.20654400002</v>
      </c>
      <c r="AG216" s="101">
        <v>20521</v>
      </c>
      <c r="AH216" s="101">
        <v>29044</v>
      </c>
      <c r="AI216" s="101">
        <v>1612148.122278</v>
      </c>
      <c r="AJ216" s="101">
        <v>2377328.5276199998</v>
      </c>
      <c r="AK216" s="101">
        <v>682105.96686599997</v>
      </c>
      <c r="AL216" s="101">
        <v>1408519.6313400001</v>
      </c>
      <c r="AM216" s="101">
        <v>339935.74383599998</v>
      </c>
      <c r="AN216" s="101">
        <v>968808.89627999999</v>
      </c>
      <c r="AO216" s="101">
        <v>0</v>
      </c>
      <c r="AP216" s="101">
        <v>28035.354060000001</v>
      </c>
      <c r="AQ216" s="101">
        <v>0</v>
      </c>
      <c r="AR216" s="101">
        <v>0</v>
      </c>
      <c r="AS216" s="101">
        <v>0</v>
      </c>
      <c r="AT216" s="101">
        <v>940773.54221999994</v>
      </c>
      <c r="AU216" s="101">
        <v>170019.28938599999</v>
      </c>
    </row>
    <row r="217" spans="1:47">
      <c r="A217" s="102" t="s">
        <v>601</v>
      </c>
      <c r="B217" s="102" t="s">
        <v>602</v>
      </c>
      <c r="C217" s="101">
        <v>22506</v>
      </c>
      <c r="D217" s="101">
        <v>38160</v>
      </c>
      <c r="E217" s="101">
        <v>1181033.2379999999</v>
      </c>
      <c r="F217" s="101">
        <v>1599146.9782799999</v>
      </c>
      <c r="G217" s="101">
        <v>320160.94068</v>
      </c>
      <c r="H217" s="101">
        <v>866698.08978399995</v>
      </c>
      <c r="I217" s="101">
        <v>255691.20222800001</v>
      </c>
      <c r="J217" s="101">
        <v>732448.88849599997</v>
      </c>
      <c r="K217" s="101">
        <v>0</v>
      </c>
      <c r="L217" s="101">
        <v>0</v>
      </c>
      <c r="M217" s="101">
        <v>0</v>
      </c>
      <c r="N217" s="101">
        <v>0</v>
      </c>
      <c r="O217" s="101">
        <v>0</v>
      </c>
      <c r="P217" s="101">
        <v>732448.88849599997</v>
      </c>
      <c r="Q217" s="101">
        <v>149976.07384</v>
      </c>
      <c r="R217" s="101">
        <v>41391</v>
      </c>
      <c r="S217" s="101">
        <v>65700</v>
      </c>
      <c r="T217" s="101">
        <v>2232284.5668000001</v>
      </c>
      <c r="U217" s="101">
        <v>2990318.1922800001</v>
      </c>
      <c r="V217" s="101">
        <v>588136.81668000005</v>
      </c>
      <c r="W217" s="101">
        <v>1509815.423496</v>
      </c>
      <c r="X217" s="101">
        <v>438327.77524799999</v>
      </c>
      <c r="Y217" s="101">
        <v>1480502.7687839989</v>
      </c>
      <c r="Z217" s="101">
        <v>0</v>
      </c>
      <c r="AA217" s="101">
        <v>0</v>
      </c>
      <c r="AB217" s="101">
        <v>0</v>
      </c>
      <c r="AC217" s="101">
        <v>0</v>
      </c>
      <c r="AD217" s="101">
        <v>0</v>
      </c>
      <c r="AE217" s="101">
        <v>1480502.7687839989</v>
      </c>
      <c r="AF217" s="101">
        <v>297085.69690799998</v>
      </c>
      <c r="AG217" s="101">
        <v>26446</v>
      </c>
      <c r="AH217" s="101">
        <v>38160</v>
      </c>
      <c r="AI217" s="101">
        <v>1311910.9927020001</v>
      </c>
      <c r="AJ217" s="101">
        <v>1811824.174782</v>
      </c>
      <c r="AK217" s="101">
        <v>372627.25524000003</v>
      </c>
      <c r="AL217" s="101">
        <v>913721.60066400003</v>
      </c>
      <c r="AM217" s="101">
        <v>277787.96262000001</v>
      </c>
      <c r="AN217" s="101">
        <v>898102.57411799999</v>
      </c>
      <c r="AO217" s="101">
        <v>0</v>
      </c>
      <c r="AP217" s="101">
        <v>0</v>
      </c>
      <c r="AQ217" s="101">
        <v>0</v>
      </c>
      <c r="AR217" s="101">
        <v>0</v>
      </c>
      <c r="AS217" s="101">
        <v>0</v>
      </c>
      <c r="AT217" s="101">
        <v>898102.57411799999</v>
      </c>
      <c r="AU217" s="101">
        <v>181959.484986</v>
      </c>
    </row>
    <row r="218" spans="1:47">
      <c r="A218" s="102" t="s">
        <v>1046</v>
      </c>
      <c r="B218" s="102" t="e">
        <v>#N/A</v>
      </c>
      <c r="C218" s="101">
        <v>104576</v>
      </c>
      <c r="D218" s="101">
        <v>153064</v>
      </c>
      <c r="E218" s="101">
        <v>8111163.6083359998</v>
      </c>
      <c r="F218" s="101">
        <v>10743280.071632</v>
      </c>
      <c r="G218" s="101">
        <v>2299771.2685600002</v>
      </c>
      <c r="H218" s="101">
        <v>5054544.2052640002</v>
      </c>
      <c r="I218" s="101">
        <v>1213163.7741040001</v>
      </c>
      <c r="J218" s="101">
        <v>5688735.8663680004</v>
      </c>
      <c r="K218" s="101">
        <v>1047336.33542</v>
      </c>
      <c r="L218" s="101">
        <v>31510.72176</v>
      </c>
      <c r="M218" s="101">
        <v>0</v>
      </c>
      <c r="N218" s="101">
        <v>0</v>
      </c>
      <c r="O218" s="101">
        <v>0</v>
      </c>
      <c r="P218" s="101">
        <v>4609888.8091879999</v>
      </c>
      <c r="Q218" s="101">
        <v>791713.18648000003</v>
      </c>
      <c r="R218" s="101">
        <v>184259.54</v>
      </c>
      <c r="S218" s="101">
        <v>263530</v>
      </c>
      <c r="T218" s="101">
        <v>14374488.690856</v>
      </c>
      <c r="U218" s="101">
        <v>19055786.531048</v>
      </c>
      <c r="V218" s="101">
        <v>4098120.9132520002</v>
      </c>
      <c r="W218" s="101">
        <v>8756167.6846799999</v>
      </c>
      <c r="X218" s="101">
        <v>2079774.49238</v>
      </c>
      <c r="Y218" s="101">
        <v>10299618.846368</v>
      </c>
      <c r="Z218" s="101">
        <v>1833935.8597959999</v>
      </c>
      <c r="AA218" s="101">
        <v>54018.380160000001</v>
      </c>
      <c r="AB218" s="101">
        <v>0</v>
      </c>
      <c r="AC218" s="101">
        <v>0</v>
      </c>
      <c r="AD218" s="101">
        <v>0</v>
      </c>
      <c r="AE218" s="101">
        <v>8411664.6064119991</v>
      </c>
      <c r="AF218" s="101">
        <v>1433341.955848</v>
      </c>
      <c r="AG218" s="101">
        <v>105879</v>
      </c>
      <c r="AH218" s="101">
        <v>153064</v>
      </c>
      <c r="AI218" s="101">
        <v>8215596.8701560013</v>
      </c>
      <c r="AJ218" s="101">
        <v>11076634.763730004</v>
      </c>
      <c r="AK218" s="101">
        <v>2454202.0476899999</v>
      </c>
      <c r="AL218" s="101">
        <v>5236726.4826300014</v>
      </c>
      <c r="AM218" s="101">
        <v>1309552.9137180001</v>
      </c>
      <c r="AN218" s="101">
        <v>5839908.2811000021</v>
      </c>
      <c r="AO218" s="101">
        <v>1136729.0778300001</v>
      </c>
      <c r="AP218" s="101">
        <v>30142.125467999998</v>
      </c>
      <c r="AQ218" s="101">
        <v>0</v>
      </c>
      <c r="AR218" s="101">
        <v>0</v>
      </c>
      <c r="AS218" s="101">
        <v>0</v>
      </c>
      <c r="AT218" s="101">
        <v>4673037.0778019987</v>
      </c>
      <c r="AU218" s="101">
        <v>832820.96892599994</v>
      </c>
    </row>
    <row r="219" spans="1:47">
      <c r="A219" s="102" t="s">
        <v>816</v>
      </c>
      <c r="B219" s="102" t="s">
        <v>817</v>
      </c>
      <c r="C219" s="101">
        <v>19710</v>
      </c>
      <c r="D219" s="101">
        <v>26500</v>
      </c>
      <c r="E219" s="101">
        <v>2305400</v>
      </c>
      <c r="F219" s="101">
        <v>2965999.96</v>
      </c>
      <c r="G219" s="101">
        <v>522339.01</v>
      </c>
      <c r="H219" s="101">
        <v>1624525.35</v>
      </c>
      <c r="I219" s="101">
        <v>653450</v>
      </c>
      <c r="J219" s="101">
        <v>1341474.6100000001</v>
      </c>
      <c r="K219" s="101">
        <v>0</v>
      </c>
      <c r="L219" s="101">
        <v>0</v>
      </c>
      <c r="M219" s="101">
        <v>0</v>
      </c>
      <c r="N219" s="101">
        <v>0</v>
      </c>
      <c r="O219" s="101">
        <v>0</v>
      </c>
      <c r="P219" s="101">
        <v>1341474.6100000001</v>
      </c>
      <c r="Q219" s="101">
        <v>0</v>
      </c>
      <c r="R219" s="101">
        <v>34305</v>
      </c>
      <c r="S219" s="101">
        <v>45625</v>
      </c>
      <c r="T219" s="101">
        <v>4064015</v>
      </c>
      <c r="U219" s="101">
        <v>5224999.9400000013</v>
      </c>
      <c r="V219" s="101">
        <v>916834.05</v>
      </c>
      <c r="W219" s="101">
        <v>2782499.6</v>
      </c>
      <c r="X219" s="101">
        <v>1120200</v>
      </c>
      <c r="Y219" s="101">
        <v>2442500.34</v>
      </c>
      <c r="Z219" s="101">
        <v>0</v>
      </c>
      <c r="AA219" s="101">
        <v>0</v>
      </c>
      <c r="AB219" s="101">
        <v>0</v>
      </c>
      <c r="AC219" s="101">
        <v>0</v>
      </c>
      <c r="AD219" s="101">
        <v>0</v>
      </c>
      <c r="AE219" s="101">
        <v>2442500.34</v>
      </c>
      <c r="AF219" s="101">
        <v>0</v>
      </c>
      <c r="AG219" s="101">
        <v>19426.91</v>
      </c>
      <c r="AH219" s="101">
        <v>26500</v>
      </c>
      <c r="AI219" s="101">
        <v>2301829.5299999998</v>
      </c>
      <c r="AJ219" s="101">
        <v>3059242.4100000011</v>
      </c>
      <c r="AK219" s="101">
        <v>579607.75</v>
      </c>
      <c r="AL219" s="101">
        <v>1727816.84</v>
      </c>
      <c r="AM219" s="101">
        <v>714577.25</v>
      </c>
      <c r="AN219" s="101">
        <v>1331425.57</v>
      </c>
      <c r="AO219" s="101">
        <v>0</v>
      </c>
      <c r="AP219" s="101">
        <v>0</v>
      </c>
      <c r="AQ219" s="101">
        <v>0</v>
      </c>
      <c r="AR219" s="101">
        <v>0</v>
      </c>
      <c r="AS219" s="101">
        <v>0</v>
      </c>
      <c r="AT219" s="101">
        <v>1331425.57</v>
      </c>
      <c r="AU219" s="101">
        <v>246324.82</v>
      </c>
    </row>
    <row r="220" spans="1:47">
      <c r="A220" s="102" t="s">
        <v>1047</v>
      </c>
      <c r="B220" s="102" t="e">
        <v>#N/A</v>
      </c>
      <c r="C220" s="101">
        <v>0</v>
      </c>
      <c r="D220" s="101">
        <v>0</v>
      </c>
      <c r="E220" s="101">
        <v>0</v>
      </c>
      <c r="F220" s="101">
        <v>0</v>
      </c>
      <c r="G220" s="101">
        <v>0</v>
      </c>
      <c r="H220" s="101">
        <v>0</v>
      </c>
      <c r="I220" s="101">
        <v>0</v>
      </c>
      <c r="J220" s="101">
        <v>0</v>
      </c>
      <c r="K220" s="101">
        <v>0</v>
      </c>
      <c r="L220" s="101">
        <v>0</v>
      </c>
      <c r="M220" s="101">
        <v>0</v>
      </c>
      <c r="N220" s="101">
        <v>0</v>
      </c>
      <c r="O220" s="101">
        <v>0</v>
      </c>
      <c r="P220" s="101">
        <v>0</v>
      </c>
      <c r="Q220" s="101">
        <v>0</v>
      </c>
      <c r="R220" s="101">
        <v>0</v>
      </c>
      <c r="S220" s="101">
        <v>0</v>
      </c>
      <c r="T220" s="101">
        <v>0</v>
      </c>
      <c r="U220" s="101">
        <v>0</v>
      </c>
      <c r="V220" s="101">
        <v>0</v>
      </c>
      <c r="W220" s="101">
        <v>0</v>
      </c>
      <c r="X220" s="101">
        <v>0</v>
      </c>
      <c r="Y220" s="101">
        <v>0</v>
      </c>
      <c r="Z220" s="101">
        <v>0</v>
      </c>
      <c r="AA220" s="101">
        <v>0</v>
      </c>
      <c r="AB220" s="101">
        <v>0</v>
      </c>
      <c r="AC220" s="101">
        <v>0</v>
      </c>
      <c r="AD220" s="101">
        <v>0</v>
      </c>
      <c r="AE220" s="101">
        <v>0</v>
      </c>
      <c r="AF220" s="101">
        <v>0</v>
      </c>
      <c r="AG220" s="101">
        <v>0</v>
      </c>
      <c r="AH220" s="101">
        <v>21836</v>
      </c>
      <c r="AI220" s="101">
        <v>0</v>
      </c>
      <c r="AJ220" s="101">
        <v>0</v>
      </c>
      <c r="AK220" s="101">
        <v>0</v>
      </c>
      <c r="AL220" s="101">
        <v>0</v>
      </c>
      <c r="AM220" s="101">
        <v>0</v>
      </c>
      <c r="AN220" s="101">
        <v>0</v>
      </c>
      <c r="AO220" s="101">
        <v>0</v>
      </c>
      <c r="AP220" s="101">
        <v>0</v>
      </c>
      <c r="AQ220" s="101">
        <v>0</v>
      </c>
      <c r="AR220" s="101">
        <v>0</v>
      </c>
      <c r="AS220" s="101">
        <v>0</v>
      </c>
      <c r="AT220" s="101">
        <v>0</v>
      </c>
      <c r="AU220" s="101">
        <v>0</v>
      </c>
    </row>
    <row r="221" spans="1:47">
      <c r="A221" s="102" t="s">
        <v>819</v>
      </c>
      <c r="B221" s="102" t="s">
        <v>820</v>
      </c>
      <c r="C221" s="101">
        <v>15830</v>
      </c>
      <c r="D221" s="101">
        <v>42824</v>
      </c>
      <c r="E221" s="101">
        <v>1816140</v>
      </c>
      <c r="F221" s="101">
        <v>3579999.99</v>
      </c>
      <c r="G221" s="101">
        <v>1163993.58</v>
      </c>
      <c r="H221" s="101">
        <v>4381954.1900000013</v>
      </c>
      <c r="I221" s="101">
        <v>1379846.14</v>
      </c>
      <c r="J221" s="101">
        <v>-801954.2</v>
      </c>
      <c r="K221" s="101">
        <v>256181.31</v>
      </c>
      <c r="L221" s="101">
        <v>58049.83</v>
      </c>
      <c r="M221" s="101">
        <v>0</v>
      </c>
      <c r="N221" s="101">
        <v>0</v>
      </c>
      <c r="O221" s="101">
        <v>0</v>
      </c>
      <c r="P221" s="101">
        <v>-1116185.3400000001</v>
      </c>
      <c r="Q221" s="101">
        <v>143200</v>
      </c>
      <c r="R221" s="101">
        <v>27482</v>
      </c>
      <c r="S221" s="101">
        <v>73730</v>
      </c>
      <c r="T221" s="101">
        <v>3371900</v>
      </c>
      <c r="U221" s="101">
        <v>6471000.040000001</v>
      </c>
      <c r="V221" s="101">
        <v>2043217.89</v>
      </c>
      <c r="W221" s="101">
        <v>7791082.8899999987</v>
      </c>
      <c r="X221" s="101">
        <v>2607956.04</v>
      </c>
      <c r="Y221" s="101">
        <v>-1320082.8500000001</v>
      </c>
      <c r="Z221" s="101">
        <v>462248.15</v>
      </c>
      <c r="AA221" s="101">
        <v>96333.18</v>
      </c>
      <c r="AB221" s="101">
        <v>0</v>
      </c>
      <c r="AC221" s="101">
        <v>0</v>
      </c>
      <c r="AD221" s="101">
        <v>0</v>
      </c>
      <c r="AE221" s="101">
        <v>-1878664.1800000011</v>
      </c>
      <c r="AF221" s="101">
        <v>258840</v>
      </c>
      <c r="AG221" s="101">
        <v>17229</v>
      </c>
      <c r="AH221" s="101">
        <v>42824</v>
      </c>
      <c r="AI221" s="101">
        <v>1923241.07</v>
      </c>
      <c r="AJ221" s="101">
        <v>3891010.1100000008</v>
      </c>
      <c r="AK221" s="101">
        <v>1257929.1100000001</v>
      </c>
      <c r="AL221" s="101">
        <v>4821297.71</v>
      </c>
      <c r="AM221" s="101">
        <v>1352409.95</v>
      </c>
      <c r="AN221" s="101">
        <v>-930287.6</v>
      </c>
      <c r="AO221" s="101">
        <v>263017.03000000003</v>
      </c>
      <c r="AP221" s="101">
        <v>58051.66</v>
      </c>
      <c r="AQ221" s="101">
        <v>0</v>
      </c>
      <c r="AR221" s="101">
        <v>0</v>
      </c>
      <c r="AS221" s="101">
        <v>0</v>
      </c>
      <c r="AT221" s="101">
        <v>-1251356.29</v>
      </c>
      <c r="AU221" s="101">
        <v>155579.6</v>
      </c>
    </row>
    <row r="222" spans="1:47">
      <c r="A222" s="102" t="s">
        <v>1048</v>
      </c>
      <c r="B222" s="102" t="e">
        <v>#N/A</v>
      </c>
      <c r="C222" s="101">
        <v>49020</v>
      </c>
      <c r="D222" s="101">
        <v>80560</v>
      </c>
      <c r="E222" s="101">
        <v>5201270</v>
      </c>
      <c r="F222" s="101">
        <v>6668000</v>
      </c>
      <c r="G222" s="101">
        <v>1240225.7</v>
      </c>
      <c r="H222" s="101">
        <v>4475450.5500000007</v>
      </c>
      <c r="I222" s="101">
        <v>1613730.21</v>
      </c>
      <c r="J222" s="101">
        <v>2192549.4499999988</v>
      </c>
      <c r="K222" s="101">
        <v>0</v>
      </c>
      <c r="L222" s="101">
        <v>0</v>
      </c>
      <c r="M222" s="101">
        <v>0</v>
      </c>
      <c r="N222" s="101">
        <v>0</v>
      </c>
      <c r="O222" s="101">
        <v>0</v>
      </c>
      <c r="P222" s="101">
        <v>2192549.4499999988</v>
      </c>
      <c r="Q222" s="101">
        <v>0</v>
      </c>
      <c r="R222" s="101">
        <v>84180</v>
      </c>
      <c r="S222" s="101">
        <v>138700</v>
      </c>
      <c r="T222" s="101">
        <v>9109340</v>
      </c>
      <c r="U222" s="101">
        <v>11654999.98</v>
      </c>
      <c r="V222" s="101">
        <v>2149832.25</v>
      </c>
      <c r="W222" s="101">
        <v>7669412.1100000003</v>
      </c>
      <c r="X222" s="101">
        <v>2774715.3800000008</v>
      </c>
      <c r="Y222" s="101">
        <v>3985587.87</v>
      </c>
      <c r="Z222" s="101">
        <v>0</v>
      </c>
      <c r="AA222" s="101">
        <v>0</v>
      </c>
      <c r="AB222" s="101">
        <v>0</v>
      </c>
      <c r="AC222" s="101">
        <v>0</v>
      </c>
      <c r="AD222" s="101">
        <v>0</v>
      </c>
      <c r="AE222" s="101">
        <v>3985587.87</v>
      </c>
      <c r="AF222" s="101">
        <v>0</v>
      </c>
      <c r="AG222" s="101">
        <v>45847.99</v>
      </c>
      <c r="AH222" s="101">
        <v>80560</v>
      </c>
      <c r="AI222" s="101">
        <v>5021769.4500000011</v>
      </c>
      <c r="AJ222" s="101">
        <v>6511877.2800000021</v>
      </c>
      <c r="AK222" s="101">
        <v>1222982.81</v>
      </c>
      <c r="AL222" s="101">
        <v>4411158.54</v>
      </c>
      <c r="AM222" s="101">
        <v>1653440.83</v>
      </c>
      <c r="AN222" s="101">
        <v>2100718.7400000002</v>
      </c>
      <c r="AO222" s="101">
        <v>2540</v>
      </c>
      <c r="AP222" s="101">
        <v>0</v>
      </c>
      <c r="AQ222" s="101">
        <v>1024.5999999999999</v>
      </c>
      <c r="AR222" s="101">
        <v>0</v>
      </c>
      <c r="AS222" s="101">
        <v>0</v>
      </c>
      <c r="AT222" s="101">
        <v>2097154.14</v>
      </c>
      <c r="AU222" s="101">
        <v>351815.26</v>
      </c>
    </row>
    <row r="223" spans="1:47">
      <c r="A223" s="102" t="s">
        <v>1049</v>
      </c>
      <c r="B223" s="102" t="e">
        <v>#N/A</v>
      </c>
      <c r="C223" s="101">
        <v>84560</v>
      </c>
      <c r="D223" s="101">
        <v>149884</v>
      </c>
      <c r="E223" s="101">
        <v>9322810</v>
      </c>
      <c r="F223" s="101">
        <v>13213999.950000001</v>
      </c>
      <c r="G223" s="101">
        <v>2926558.29</v>
      </c>
      <c r="H223" s="101">
        <v>10481930.089999998</v>
      </c>
      <c r="I223" s="101">
        <v>3647026.350000001</v>
      </c>
      <c r="J223" s="101">
        <v>2732069.8600000008</v>
      </c>
      <c r="K223" s="101">
        <v>256181.31</v>
      </c>
      <c r="L223" s="101">
        <v>58049.83</v>
      </c>
      <c r="M223" s="101">
        <v>0</v>
      </c>
      <c r="N223" s="101">
        <v>0</v>
      </c>
      <c r="O223" s="101">
        <v>0</v>
      </c>
      <c r="P223" s="101">
        <v>2417838.7200000011</v>
      </c>
      <c r="Q223" s="101">
        <v>143200</v>
      </c>
      <c r="R223" s="101">
        <v>145967</v>
      </c>
      <c r="S223" s="101">
        <v>258055</v>
      </c>
      <c r="T223" s="101">
        <v>16545255</v>
      </c>
      <c r="U223" s="101">
        <v>23350999.960000001</v>
      </c>
      <c r="V223" s="101">
        <v>5109884.1900000004</v>
      </c>
      <c r="W223" s="101">
        <v>18242994.600000001</v>
      </c>
      <c r="X223" s="101">
        <v>6502871.4200000009</v>
      </c>
      <c r="Y223" s="101">
        <v>5108005.3600000003</v>
      </c>
      <c r="Z223" s="101">
        <v>462248.15</v>
      </c>
      <c r="AA223" s="101">
        <v>96333.18</v>
      </c>
      <c r="AB223" s="101">
        <v>0</v>
      </c>
      <c r="AC223" s="101">
        <v>0</v>
      </c>
      <c r="AD223" s="101">
        <v>0</v>
      </c>
      <c r="AE223" s="101">
        <v>4549424.0300000012</v>
      </c>
      <c r="AF223" s="101">
        <v>258840</v>
      </c>
      <c r="AG223" s="101">
        <v>82503.899999999994</v>
      </c>
      <c r="AH223" s="101">
        <v>171720</v>
      </c>
      <c r="AI223" s="101">
        <v>9246840.0500000026</v>
      </c>
      <c r="AJ223" s="101">
        <v>13462129.800000004</v>
      </c>
      <c r="AK223" s="101">
        <v>3060519.67</v>
      </c>
      <c r="AL223" s="101">
        <v>10960273.090000002</v>
      </c>
      <c r="AM223" s="101">
        <v>3720428.0299999989</v>
      </c>
      <c r="AN223" s="101">
        <v>2501856.7100000032</v>
      </c>
      <c r="AO223" s="101">
        <v>265557.03000000003</v>
      </c>
      <c r="AP223" s="101">
        <v>58051.66</v>
      </c>
      <c r="AQ223" s="101">
        <v>1024.5999999999999</v>
      </c>
      <c r="AR223" s="101">
        <v>0</v>
      </c>
      <c r="AS223" s="101">
        <v>0</v>
      </c>
      <c r="AT223" s="101">
        <v>2177223.4200000009</v>
      </c>
      <c r="AU223" s="101">
        <v>753719.68</v>
      </c>
    </row>
    <row r="224" spans="1:47">
      <c r="A224" s="102" t="s">
        <v>596</v>
      </c>
      <c r="B224" s="102" t="s">
        <v>597</v>
      </c>
      <c r="C224" s="101">
        <v>0</v>
      </c>
      <c r="D224" s="101">
        <v>0</v>
      </c>
      <c r="E224" s="101">
        <v>0</v>
      </c>
      <c r="F224" s="101">
        <v>0</v>
      </c>
      <c r="G224" s="101">
        <v>0</v>
      </c>
      <c r="H224" s="101">
        <v>0</v>
      </c>
      <c r="I224" s="101">
        <v>0</v>
      </c>
      <c r="J224" s="101">
        <v>0</v>
      </c>
      <c r="K224" s="101">
        <v>0</v>
      </c>
      <c r="L224" s="101">
        <v>0</v>
      </c>
      <c r="M224" s="101">
        <v>0</v>
      </c>
      <c r="N224" s="101">
        <v>0</v>
      </c>
      <c r="O224" s="101">
        <v>0</v>
      </c>
      <c r="P224" s="101">
        <v>0</v>
      </c>
      <c r="Q224" s="101">
        <v>0</v>
      </c>
      <c r="R224" s="101">
        <v>0</v>
      </c>
      <c r="S224" s="101">
        <v>0</v>
      </c>
      <c r="T224" s="101">
        <v>0</v>
      </c>
      <c r="U224" s="101">
        <v>0</v>
      </c>
      <c r="V224" s="101">
        <v>0</v>
      </c>
      <c r="W224" s="101">
        <v>0</v>
      </c>
      <c r="X224" s="101">
        <v>0</v>
      </c>
      <c r="Y224" s="101">
        <v>0</v>
      </c>
      <c r="Z224" s="101">
        <v>0</v>
      </c>
      <c r="AA224" s="101">
        <v>0</v>
      </c>
      <c r="AB224" s="101">
        <v>0</v>
      </c>
      <c r="AC224" s="101">
        <v>0</v>
      </c>
      <c r="AD224" s="101">
        <v>0</v>
      </c>
      <c r="AE224" s="101">
        <v>0</v>
      </c>
      <c r="AF224" s="101">
        <v>0</v>
      </c>
      <c r="AG224" s="101">
        <v>31800</v>
      </c>
      <c r="AH224" s="101">
        <v>97520</v>
      </c>
      <c r="AI224" s="101">
        <v>2551094.2303909999</v>
      </c>
      <c r="AJ224" s="101">
        <v>3745086.310238</v>
      </c>
      <c r="AK224" s="101">
        <v>843542.60107600002</v>
      </c>
      <c r="AL224" s="101">
        <v>-31895.522813</v>
      </c>
      <c r="AM224" s="101">
        <v>0</v>
      </c>
      <c r="AN224" s="101">
        <v>3776981.8330509998</v>
      </c>
      <c r="AO224" s="101">
        <v>0</v>
      </c>
      <c r="AP224" s="101">
        <v>0</v>
      </c>
      <c r="AQ224" s="101">
        <v>0</v>
      </c>
      <c r="AR224" s="101">
        <v>0</v>
      </c>
      <c r="AS224" s="101">
        <v>0</v>
      </c>
      <c r="AT224" s="101">
        <v>3776981.8330509998</v>
      </c>
      <c r="AU224" s="101">
        <v>0</v>
      </c>
    </row>
    <row r="225" spans="1:47">
      <c r="A225" s="102" t="s">
        <v>867</v>
      </c>
      <c r="B225" s="102" t="s">
        <v>868</v>
      </c>
      <c r="C225" s="101">
        <v>0</v>
      </c>
      <c r="D225" s="101">
        <v>0</v>
      </c>
      <c r="E225" s="101">
        <v>0</v>
      </c>
      <c r="F225" s="101">
        <v>0</v>
      </c>
      <c r="G225" s="101">
        <v>0</v>
      </c>
      <c r="H225" s="101">
        <v>0</v>
      </c>
      <c r="I225" s="101">
        <v>0</v>
      </c>
      <c r="J225" s="101">
        <v>0</v>
      </c>
      <c r="K225" s="101">
        <v>0</v>
      </c>
      <c r="L225" s="101">
        <v>0</v>
      </c>
      <c r="M225" s="101">
        <v>0</v>
      </c>
      <c r="N225" s="101">
        <v>0</v>
      </c>
      <c r="O225" s="101">
        <v>0</v>
      </c>
      <c r="P225" s="101">
        <v>0</v>
      </c>
      <c r="Q225" s="101">
        <v>0</v>
      </c>
      <c r="R225" s="101">
        <v>0</v>
      </c>
      <c r="S225" s="101">
        <v>0</v>
      </c>
      <c r="T225" s="101">
        <v>0</v>
      </c>
      <c r="U225" s="101">
        <v>0</v>
      </c>
      <c r="V225" s="101">
        <v>0</v>
      </c>
      <c r="W225" s="101">
        <v>0</v>
      </c>
      <c r="X225" s="101">
        <v>0</v>
      </c>
      <c r="Y225" s="101">
        <v>0</v>
      </c>
      <c r="Z225" s="101">
        <v>0</v>
      </c>
      <c r="AA225" s="101">
        <v>0</v>
      </c>
      <c r="AB225" s="101">
        <v>0</v>
      </c>
      <c r="AC225" s="101">
        <v>0</v>
      </c>
      <c r="AD225" s="101">
        <v>0</v>
      </c>
      <c r="AE225" s="101">
        <v>0</v>
      </c>
      <c r="AF225" s="101">
        <v>0</v>
      </c>
      <c r="AG225" s="101">
        <v>3917</v>
      </c>
      <c r="AH225" s="101">
        <v>13780</v>
      </c>
      <c r="AI225" s="101">
        <v>0</v>
      </c>
      <c r="AJ225" s="101">
        <v>0</v>
      </c>
      <c r="AK225" s="101">
        <v>0</v>
      </c>
      <c r="AL225" s="101">
        <v>0</v>
      </c>
      <c r="AM225" s="101">
        <v>0</v>
      </c>
      <c r="AN225" s="101">
        <v>0</v>
      </c>
      <c r="AO225" s="101">
        <v>0</v>
      </c>
      <c r="AP225" s="101">
        <v>0</v>
      </c>
      <c r="AQ225" s="101">
        <v>0</v>
      </c>
      <c r="AR225" s="101">
        <v>0</v>
      </c>
      <c r="AS225" s="101">
        <v>0</v>
      </c>
      <c r="AT225" s="101">
        <v>0</v>
      </c>
      <c r="AU225" s="101">
        <v>0</v>
      </c>
    </row>
    <row r="226" spans="1:47">
      <c r="A226" s="102" t="s">
        <v>1050</v>
      </c>
      <c r="B226" s="102" t="e">
        <v>#N/A</v>
      </c>
      <c r="C226" s="101">
        <v>0</v>
      </c>
      <c r="D226" s="101">
        <v>0</v>
      </c>
      <c r="E226" s="101">
        <v>0</v>
      </c>
      <c r="F226" s="101">
        <v>0</v>
      </c>
      <c r="G226" s="101">
        <v>0</v>
      </c>
      <c r="H226" s="101">
        <v>0</v>
      </c>
      <c r="I226" s="101">
        <v>0</v>
      </c>
      <c r="J226" s="101">
        <v>0</v>
      </c>
      <c r="K226" s="101">
        <v>0</v>
      </c>
      <c r="L226" s="101">
        <v>0</v>
      </c>
      <c r="M226" s="101">
        <v>0</v>
      </c>
      <c r="N226" s="101">
        <v>0</v>
      </c>
      <c r="O226" s="101">
        <v>0</v>
      </c>
      <c r="P226" s="101">
        <v>0</v>
      </c>
      <c r="Q226" s="101">
        <v>0</v>
      </c>
      <c r="R226" s="101">
        <v>0</v>
      </c>
      <c r="S226" s="101">
        <v>0</v>
      </c>
      <c r="T226" s="101">
        <v>0</v>
      </c>
      <c r="U226" s="101">
        <v>0</v>
      </c>
      <c r="V226" s="101">
        <v>0</v>
      </c>
      <c r="W226" s="101">
        <v>0</v>
      </c>
      <c r="X226" s="101">
        <v>0</v>
      </c>
      <c r="Y226" s="101">
        <v>0</v>
      </c>
      <c r="Z226" s="101">
        <v>0</v>
      </c>
      <c r="AA226" s="101">
        <v>0</v>
      </c>
      <c r="AB226" s="101">
        <v>0</v>
      </c>
      <c r="AC226" s="101">
        <v>0</v>
      </c>
      <c r="AD226" s="101">
        <v>0</v>
      </c>
      <c r="AE226" s="101">
        <v>0</v>
      </c>
      <c r="AF226" s="101">
        <v>0</v>
      </c>
      <c r="AG226" s="101">
        <v>35717</v>
      </c>
      <c r="AH226" s="101">
        <v>111300</v>
      </c>
      <c r="AI226" s="101">
        <v>2551094.2303909999</v>
      </c>
      <c r="AJ226" s="101">
        <v>3745086.310238</v>
      </c>
      <c r="AK226" s="101">
        <v>843542.60107600002</v>
      </c>
      <c r="AL226" s="101">
        <v>-31895.522813</v>
      </c>
      <c r="AM226" s="101">
        <v>0</v>
      </c>
      <c r="AN226" s="101">
        <v>3776981.8330509998</v>
      </c>
      <c r="AO226" s="101">
        <v>0</v>
      </c>
      <c r="AP226" s="101">
        <v>0</v>
      </c>
      <c r="AQ226" s="101">
        <v>0</v>
      </c>
      <c r="AR226" s="101">
        <v>0</v>
      </c>
      <c r="AS226" s="101">
        <v>0</v>
      </c>
      <c r="AT226" s="101">
        <v>3776981.8330509998</v>
      </c>
      <c r="AU226" s="101">
        <v>0</v>
      </c>
    </row>
    <row r="227" spans="1:47">
      <c r="A227" s="102" t="s">
        <v>909</v>
      </c>
      <c r="B227" s="102" t="e">
        <v>#N/A</v>
      </c>
      <c r="C227" s="101">
        <v>40609</v>
      </c>
      <c r="D227" s="101">
        <v>71020</v>
      </c>
      <c r="E227" s="101">
        <v>2847609.5</v>
      </c>
      <c r="F227" s="101">
        <v>5527492.790000001</v>
      </c>
      <c r="G227" s="101">
        <v>2423580.29</v>
      </c>
      <c r="H227" s="101">
        <v>4822281.7800000021</v>
      </c>
      <c r="I227" s="101">
        <v>975654.99</v>
      </c>
      <c r="J227" s="101">
        <v>705211.01</v>
      </c>
      <c r="K227" s="101">
        <v>0</v>
      </c>
      <c r="L227" s="101">
        <v>100361.31</v>
      </c>
      <c r="M227" s="101">
        <v>0</v>
      </c>
      <c r="N227" s="101">
        <v>0</v>
      </c>
      <c r="O227" s="101">
        <v>0</v>
      </c>
      <c r="P227" s="101">
        <v>604849.69999999995</v>
      </c>
      <c r="Q227" s="101">
        <v>236345.87</v>
      </c>
      <c r="R227" s="101">
        <v>72731</v>
      </c>
      <c r="S227" s="101">
        <v>122275</v>
      </c>
      <c r="T227" s="101">
        <v>5240493.5</v>
      </c>
      <c r="U227" s="101">
        <v>10119742.92</v>
      </c>
      <c r="V227" s="101">
        <v>4411201.42</v>
      </c>
      <c r="W227" s="101">
        <v>8483709.1699999999</v>
      </c>
      <c r="X227" s="101">
        <v>1672499.39</v>
      </c>
      <c r="Y227" s="101">
        <v>1636033.7499999991</v>
      </c>
      <c r="Z227" s="101">
        <v>0</v>
      </c>
      <c r="AA227" s="101">
        <v>172047.96</v>
      </c>
      <c r="AB227" s="101">
        <v>0</v>
      </c>
      <c r="AC227" s="101">
        <v>0</v>
      </c>
      <c r="AD227" s="101">
        <v>0</v>
      </c>
      <c r="AE227" s="101">
        <v>1463985.7899999991</v>
      </c>
      <c r="AF227" s="101">
        <v>467195.63</v>
      </c>
      <c r="AG227" s="101">
        <v>42859</v>
      </c>
      <c r="AH227" s="101">
        <v>71020</v>
      </c>
      <c r="AI227" s="101">
        <v>2961051.75</v>
      </c>
      <c r="AJ227" s="101">
        <v>5822010.6000000006</v>
      </c>
      <c r="AK227" s="101">
        <v>2559185.7400000002</v>
      </c>
      <c r="AL227" s="101">
        <v>5038629.3899999997</v>
      </c>
      <c r="AM227" s="101">
        <v>1781798.57</v>
      </c>
      <c r="AN227" s="101">
        <v>783381.20999999903</v>
      </c>
      <c r="AO227" s="101">
        <v>0</v>
      </c>
      <c r="AP227" s="101">
        <v>81641</v>
      </c>
      <c r="AQ227" s="101">
        <v>0</v>
      </c>
      <c r="AR227" s="101">
        <v>0</v>
      </c>
      <c r="AS227" s="101">
        <v>0</v>
      </c>
      <c r="AT227" s="101">
        <v>701740.20999999903</v>
      </c>
      <c r="AU227" s="101">
        <v>246522.05</v>
      </c>
    </row>
    <row r="228" spans="1:47">
      <c r="A228" s="102" t="s">
        <v>910</v>
      </c>
      <c r="B228" s="102" t="e">
        <v>#N/A</v>
      </c>
      <c r="C228" s="101">
        <v>32501</v>
      </c>
      <c r="D228" s="101">
        <v>39432</v>
      </c>
      <c r="E228" s="101">
        <v>982440.66</v>
      </c>
      <c r="F228" s="101">
        <v>1190518.3700000001</v>
      </c>
      <c r="G228" s="101">
        <v>165925.04</v>
      </c>
      <c r="H228" s="101">
        <v>976198.77</v>
      </c>
      <c r="I228" s="101">
        <v>528916</v>
      </c>
      <c r="J228" s="101">
        <v>214319.6</v>
      </c>
      <c r="K228" s="101">
        <v>0</v>
      </c>
      <c r="L228" s="101">
        <v>23580.06</v>
      </c>
      <c r="M228" s="101">
        <v>0</v>
      </c>
      <c r="N228" s="101">
        <v>0</v>
      </c>
      <c r="O228" s="101">
        <v>0</v>
      </c>
      <c r="P228" s="101">
        <v>190739.54</v>
      </c>
      <c r="Q228" s="101">
        <v>45471.66</v>
      </c>
      <c r="R228" s="101">
        <v>57596</v>
      </c>
      <c r="S228" s="101">
        <v>67890</v>
      </c>
      <c r="T228" s="101">
        <v>1748622.91</v>
      </c>
      <c r="U228" s="101">
        <v>2128478.62</v>
      </c>
      <c r="V228" s="101">
        <v>304867.03999999998</v>
      </c>
      <c r="W228" s="101">
        <v>1715679.89</v>
      </c>
      <c r="X228" s="101">
        <v>918891</v>
      </c>
      <c r="Y228" s="101">
        <v>412798.73</v>
      </c>
      <c r="Z228" s="101">
        <v>0</v>
      </c>
      <c r="AA228" s="101">
        <v>40422.959999999999</v>
      </c>
      <c r="AB228" s="101">
        <v>0</v>
      </c>
      <c r="AC228" s="101">
        <v>0</v>
      </c>
      <c r="AD228" s="101">
        <v>0</v>
      </c>
      <c r="AE228" s="101">
        <v>372375.77</v>
      </c>
      <c r="AF228" s="101">
        <v>91150.84</v>
      </c>
      <c r="AG228" s="101">
        <v>32443</v>
      </c>
      <c r="AH228" s="101">
        <v>39432</v>
      </c>
      <c r="AI228" s="101">
        <v>1059693.48</v>
      </c>
      <c r="AJ228" s="101">
        <v>1270419.6100000001</v>
      </c>
      <c r="AK228" s="101">
        <v>172750.35</v>
      </c>
      <c r="AL228" s="101">
        <v>985886.49</v>
      </c>
      <c r="AM228" s="101">
        <v>500653.88</v>
      </c>
      <c r="AN228" s="101">
        <v>284533.12</v>
      </c>
      <c r="AO228" s="101">
        <v>0</v>
      </c>
      <c r="AP228" s="101">
        <v>23240</v>
      </c>
      <c r="AQ228" s="101">
        <v>0</v>
      </c>
      <c r="AR228" s="101">
        <v>0</v>
      </c>
      <c r="AS228" s="101">
        <v>0</v>
      </c>
      <c r="AT228" s="101">
        <v>261293.12</v>
      </c>
      <c r="AU228" s="101">
        <v>62715.54</v>
      </c>
    </row>
    <row r="229" spans="1:47">
      <c r="A229" s="102" t="s">
        <v>911</v>
      </c>
      <c r="B229" s="102" t="e">
        <v>#N/A</v>
      </c>
      <c r="C229" s="101">
        <v>31579</v>
      </c>
      <c r="D229" s="101">
        <v>34980</v>
      </c>
      <c r="E229" s="101">
        <v>866476.4</v>
      </c>
      <c r="F229" s="101">
        <v>1794279.82</v>
      </c>
      <c r="G229" s="101">
        <v>879663.67</v>
      </c>
      <c r="H229" s="101">
        <v>1429426.83</v>
      </c>
      <c r="I229" s="101">
        <v>686759.19</v>
      </c>
      <c r="J229" s="101">
        <v>364852.99</v>
      </c>
      <c r="K229" s="101">
        <v>0</v>
      </c>
      <c r="L229" s="101">
        <v>34069.07</v>
      </c>
      <c r="M229" s="101">
        <v>0</v>
      </c>
      <c r="N229" s="101">
        <v>0</v>
      </c>
      <c r="O229" s="101">
        <v>0</v>
      </c>
      <c r="P229" s="101">
        <v>330783.92</v>
      </c>
      <c r="Q229" s="101">
        <v>76746.820000000007</v>
      </c>
      <c r="R229" s="101">
        <v>48274</v>
      </c>
      <c r="S229" s="101">
        <v>54484</v>
      </c>
      <c r="T229" s="101">
        <v>1825398.4</v>
      </c>
      <c r="U229" s="101">
        <v>3211774.88</v>
      </c>
      <c r="V229" s="101">
        <v>1298779.98</v>
      </c>
      <c r="W229" s="101">
        <v>2411691.6400000011</v>
      </c>
      <c r="X229" s="101">
        <v>1221719.32</v>
      </c>
      <c r="Y229" s="101">
        <v>800083.24</v>
      </c>
      <c r="Z229" s="101">
        <v>0</v>
      </c>
      <c r="AA229" s="101">
        <v>58404.12</v>
      </c>
      <c r="AB229" s="101">
        <v>0</v>
      </c>
      <c r="AC229" s="101">
        <v>0</v>
      </c>
      <c r="AD229" s="101">
        <v>0</v>
      </c>
      <c r="AE229" s="101">
        <v>741679.12</v>
      </c>
      <c r="AF229" s="101">
        <v>153459.9</v>
      </c>
      <c r="AG229" s="101">
        <v>32238</v>
      </c>
      <c r="AH229" s="101">
        <v>34768</v>
      </c>
      <c r="AI229" s="101">
        <v>902914.19</v>
      </c>
      <c r="AJ229" s="101">
        <v>1827511.16</v>
      </c>
      <c r="AK229" s="101">
        <v>878050.92</v>
      </c>
      <c r="AL229" s="101">
        <v>1483494.97</v>
      </c>
      <c r="AM229" s="101">
        <v>709208.59</v>
      </c>
      <c r="AN229" s="101">
        <v>344016.19</v>
      </c>
      <c r="AO229" s="101">
        <v>0</v>
      </c>
      <c r="AP229" s="101">
        <v>33565</v>
      </c>
      <c r="AQ229" s="101">
        <v>0</v>
      </c>
      <c r="AR229" s="101">
        <v>0</v>
      </c>
      <c r="AS229" s="101">
        <v>0</v>
      </c>
      <c r="AT229" s="101">
        <v>310451.19</v>
      </c>
      <c r="AU229" s="101">
        <v>70586.19</v>
      </c>
    </row>
    <row r="230" spans="1:47">
      <c r="A230" s="102" t="s">
        <v>912</v>
      </c>
      <c r="B230" s="102" t="e">
        <v>#N/A</v>
      </c>
      <c r="C230" s="101">
        <v>17101</v>
      </c>
      <c r="D230" s="101">
        <v>22625</v>
      </c>
      <c r="E230" s="101">
        <v>2020221.28</v>
      </c>
      <c r="F230" s="101">
        <v>2919653.46</v>
      </c>
      <c r="G230" s="101">
        <v>691076.15</v>
      </c>
      <c r="H230" s="101">
        <v>1696612.62</v>
      </c>
      <c r="I230" s="101">
        <v>1022592.2</v>
      </c>
      <c r="J230" s="101">
        <v>1223040.8400000001</v>
      </c>
      <c r="K230" s="101">
        <v>10207.540000000001</v>
      </c>
      <c r="L230" s="101">
        <v>39013.589999999997</v>
      </c>
      <c r="M230" s="101">
        <v>0</v>
      </c>
      <c r="N230" s="101">
        <v>10207.540000000001</v>
      </c>
      <c r="O230" s="101">
        <v>0</v>
      </c>
      <c r="P230" s="101">
        <v>1173819.71</v>
      </c>
      <c r="Q230" s="101">
        <v>209893.69</v>
      </c>
      <c r="R230" s="101">
        <v>29254</v>
      </c>
      <c r="S230" s="101">
        <v>37750</v>
      </c>
      <c r="T230" s="101">
        <v>3796400.75</v>
      </c>
      <c r="U230" s="101">
        <v>5357447.0600000015</v>
      </c>
      <c r="V230" s="101">
        <v>1208438.83</v>
      </c>
      <c r="W230" s="101">
        <v>3035208.86</v>
      </c>
      <c r="X230" s="101">
        <v>1861526.88</v>
      </c>
      <c r="Y230" s="101">
        <v>2322238.2000000011</v>
      </c>
      <c r="Z230" s="101">
        <v>17498.64</v>
      </c>
      <c r="AA230" s="101">
        <v>66880.44</v>
      </c>
      <c r="AB230" s="101">
        <v>0</v>
      </c>
      <c r="AC230" s="101">
        <v>17498.64</v>
      </c>
      <c r="AD230" s="101">
        <v>0</v>
      </c>
      <c r="AE230" s="101">
        <v>2237859.120000001</v>
      </c>
      <c r="AF230" s="101">
        <v>392947.24</v>
      </c>
      <c r="AG230" s="101">
        <v>16414</v>
      </c>
      <c r="AH230" s="101">
        <v>22625</v>
      </c>
      <c r="AI230" s="101">
        <v>1881165.19</v>
      </c>
      <c r="AJ230" s="101">
        <v>2754097.97</v>
      </c>
      <c r="AK230" s="101">
        <v>655911.19999999995</v>
      </c>
      <c r="AL230" s="101">
        <v>1790390.03</v>
      </c>
      <c r="AM230" s="101">
        <v>1060700.3899999999</v>
      </c>
      <c r="AN230" s="101">
        <v>963707.94</v>
      </c>
      <c r="AO230" s="101">
        <v>0</v>
      </c>
      <c r="AP230" s="101">
        <v>38437</v>
      </c>
      <c r="AQ230" s="101">
        <v>0</v>
      </c>
      <c r="AR230" s="101">
        <v>0</v>
      </c>
      <c r="AS230" s="101">
        <v>0</v>
      </c>
      <c r="AT230" s="101">
        <v>925270.94</v>
      </c>
      <c r="AU230" s="101">
        <v>123567.66</v>
      </c>
    </row>
    <row r="231" spans="1:47">
      <c r="A231" s="102" t="s">
        <v>913</v>
      </c>
      <c r="B231" s="102" t="e">
        <v>#N/A</v>
      </c>
      <c r="C231" s="101">
        <v>81372</v>
      </c>
      <c r="D231" s="101">
        <v>103515</v>
      </c>
      <c r="E231" s="101">
        <v>1578698.56</v>
      </c>
      <c r="F231" s="101">
        <v>4614137.0600000015</v>
      </c>
      <c r="G231" s="101">
        <v>2912780</v>
      </c>
      <c r="H231" s="101">
        <v>3559191.0700000012</v>
      </c>
      <c r="I231" s="101">
        <v>1682719.17</v>
      </c>
      <c r="J231" s="101">
        <v>1054945.99</v>
      </c>
      <c r="K231" s="101">
        <v>0</v>
      </c>
      <c r="L231" s="101">
        <v>79181.48</v>
      </c>
      <c r="M231" s="101">
        <v>0</v>
      </c>
      <c r="N231" s="101">
        <v>0</v>
      </c>
      <c r="O231" s="101">
        <v>0</v>
      </c>
      <c r="P231" s="101">
        <v>975764.51</v>
      </c>
      <c r="Q231" s="101">
        <v>247234.82</v>
      </c>
      <c r="R231" s="101">
        <v>120165</v>
      </c>
      <c r="S231" s="101">
        <v>149350</v>
      </c>
      <c r="T231" s="101">
        <v>3020335.71</v>
      </c>
      <c r="U231" s="101">
        <v>7697542.21</v>
      </c>
      <c r="V231" s="101">
        <v>4464822</v>
      </c>
      <c r="W231" s="101">
        <v>5718689.7500000009</v>
      </c>
      <c r="X231" s="101">
        <v>2789222.03</v>
      </c>
      <c r="Y231" s="101">
        <v>1978852.46</v>
      </c>
      <c r="Z231" s="101">
        <v>0</v>
      </c>
      <c r="AA231" s="101">
        <v>135739.68</v>
      </c>
      <c r="AB231" s="101">
        <v>0</v>
      </c>
      <c r="AC231" s="101">
        <v>0</v>
      </c>
      <c r="AD231" s="101">
        <v>0</v>
      </c>
      <c r="AE231" s="101">
        <v>1843112.78</v>
      </c>
      <c r="AF231" s="101">
        <v>457597.56</v>
      </c>
      <c r="AG231" s="101">
        <v>84597</v>
      </c>
      <c r="AH231" s="101">
        <v>103515</v>
      </c>
      <c r="AI231" s="101">
        <v>1509348.76</v>
      </c>
      <c r="AJ231" s="101">
        <v>4757014.830000001</v>
      </c>
      <c r="AK231" s="101">
        <v>3131261.43</v>
      </c>
      <c r="AL231" s="101">
        <v>3848718.13</v>
      </c>
      <c r="AM231" s="101">
        <v>1743762</v>
      </c>
      <c r="AN231" s="101">
        <v>908296.7</v>
      </c>
      <c r="AO231" s="101">
        <v>0</v>
      </c>
      <c r="AP231" s="101">
        <v>78456</v>
      </c>
      <c r="AQ231" s="101">
        <v>0</v>
      </c>
      <c r="AR231" s="101">
        <v>0</v>
      </c>
      <c r="AS231" s="101">
        <v>0</v>
      </c>
      <c r="AT231" s="101">
        <v>829840.7</v>
      </c>
      <c r="AU231" s="101">
        <v>187997.68</v>
      </c>
    </row>
    <row r="232" spans="1:47">
      <c r="A232" s="102" t="s">
        <v>914</v>
      </c>
      <c r="B232" s="102" t="e">
        <v>#N/A</v>
      </c>
      <c r="C232" s="101">
        <v>75944</v>
      </c>
      <c r="D232" s="101">
        <v>96750</v>
      </c>
      <c r="E232" s="101">
        <v>2844828.9</v>
      </c>
      <c r="F232" s="101">
        <v>7040695.9199999999</v>
      </c>
      <c r="G232" s="101">
        <v>4008972.7</v>
      </c>
      <c r="H232" s="101">
        <v>5623516.4800000014</v>
      </c>
      <c r="I232" s="101">
        <v>2672588.6400000011</v>
      </c>
      <c r="J232" s="101">
        <v>1417179.44</v>
      </c>
      <c r="K232" s="101">
        <v>0</v>
      </c>
      <c r="L232" s="101">
        <v>108423.56</v>
      </c>
      <c r="M232" s="101">
        <v>0</v>
      </c>
      <c r="N232" s="101">
        <v>0</v>
      </c>
      <c r="O232" s="101">
        <v>0</v>
      </c>
      <c r="P232" s="101">
        <v>1308755.8799999999</v>
      </c>
      <c r="Q232" s="101">
        <v>295222.5</v>
      </c>
      <c r="R232" s="101">
        <v>134631</v>
      </c>
      <c r="S232" s="101">
        <v>167895</v>
      </c>
      <c r="T232" s="101">
        <v>5598255.8799999999</v>
      </c>
      <c r="U232" s="101">
        <v>13109941.57</v>
      </c>
      <c r="V232" s="101">
        <v>7184500.2599999998</v>
      </c>
      <c r="W232" s="101">
        <v>9857001.5600000024</v>
      </c>
      <c r="X232" s="101">
        <v>4656388.8100000015</v>
      </c>
      <c r="Y232" s="101">
        <v>3252940.01</v>
      </c>
      <c r="Z232" s="101">
        <v>0</v>
      </c>
      <c r="AA232" s="101">
        <v>185868.96</v>
      </c>
      <c r="AB232" s="101">
        <v>0</v>
      </c>
      <c r="AC232" s="101">
        <v>0</v>
      </c>
      <c r="AD232" s="101">
        <v>0</v>
      </c>
      <c r="AE232" s="101">
        <v>3067071.05</v>
      </c>
      <c r="AF232" s="101">
        <v>642846.37</v>
      </c>
      <c r="AG232" s="101">
        <v>81856</v>
      </c>
      <c r="AH232" s="101">
        <v>98792</v>
      </c>
      <c r="AI232" s="101">
        <v>3511786.88</v>
      </c>
      <c r="AJ232" s="101">
        <v>7498864.6000000006</v>
      </c>
      <c r="AK232" s="101">
        <v>3799313.45</v>
      </c>
      <c r="AL232" s="101">
        <v>5854165.620000001</v>
      </c>
      <c r="AM232" s="101">
        <v>2678743.060000001</v>
      </c>
      <c r="AN232" s="101">
        <v>1644698.9800000009</v>
      </c>
      <c r="AO232" s="101">
        <v>0</v>
      </c>
      <c r="AP232" s="101">
        <v>106820</v>
      </c>
      <c r="AQ232" s="101">
        <v>0</v>
      </c>
      <c r="AR232" s="101">
        <v>0</v>
      </c>
      <c r="AS232" s="101">
        <v>0</v>
      </c>
      <c r="AT232" s="101">
        <v>1537878.9800000009</v>
      </c>
      <c r="AU232" s="101">
        <v>281752.40000000002</v>
      </c>
    </row>
    <row r="233" spans="1:47">
      <c r="A233" s="102" t="s">
        <v>915</v>
      </c>
      <c r="B233" s="102" t="e">
        <v>#N/A</v>
      </c>
      <c r="C233" s="101">
        <v>279106</v>
      </c>
      <c r="D233" s="101">
        <v>368322</v>
      </c>
      <c r="E233" s="101">
        <v>11140275.300000003</v>
      </c>
      <c r="F233" s="101">
        <v>23086777.420000006</v>
      </c>
      <c r="G233" s="101">
        <v>11081997.85</v>
      </c>
      <c r="H233" s="101">
        <v>18107227.550000001</v>
      </c>
      <c r="I233" s="101">
        <v>7569230.1900000023</v>
      </c>
      <c r="J233" s="101">
        <v>4979549.8699999992</v>
      </c>
      <c r="K233" s="101">
        <v>10207.540000000001</v>
      </c>
      <c r="L233" s="101">
        <v>384629.07</v>
      </c>
      <c r="M233" s="101">
        <v>0</v>
      </c>
      <c r="N233" s="101">
        <v>10207.540000000001</v>
      </c>
      <c r="O233" s="101">
        <v>0</v>
      </c>
      <c r="P233" s="101">
        <v>4584713.2599999988</v>
      </c>
      <c r="Q233" s="101">
        <v>1110915.3600000001</v>
      </c>
      <c r="R233" s="101">
        <v>462651</v>
      </c>
      <c r="S233" s="101">
        <v>599644</v>
      </c>
      <c r="T233" s="101">
        <v>21229507.149999999</v>
      </c>
      <c r="U233" s="101">
        <v>41624927.259999998</v>
      </c>
      <c r="V233" s="101">
        <v>18872609.530000001</v>
      </c>
      <c r="W233" s="101">
        <v>31221980.869999997</v>
      </c>
      <c r="X233" s="101">
        <v>13120247.43</v>
      </c>
      <c r="Y233" s="101">
        <v>10402946.390000002</v>
      </c>
      <c r="Z233" s="101">
        <v>17498.64</v>
      </c>
      <c r="AA233" s="101">
        <v>659364.12</v>
      </c>
      <c r="AB233" s="101">
        <v>0</v>
      </c>
      <c r="AC233" s="101">
        <v>17498.64</v>
      </c>
      <c r="AD233" s="101">
        <v>0</v>
      </c>
      <c r="AE233" s="101">
        <v>9726083.6300000008</v>
      </c>
      <c r="AF233" s="101">
        <v>2205197.54</v>
      </c>
      <c r="AG233" s="101">
        <v>290407</v>
      </c>
      <c r="AH233" s="101">
        <v>370152</v>
      </c>
      <c r="AI233" s="101">
        <v>11825960.25</v>
      </c>
      <c r="AJ233" s="101">
        <v>23929918.77</v>
      </c>
      <c r="AK233" s="101">
        <v>11196473.09</v>
      </c>
      <c r="AL233" s="101">
        <v>19001284.629999995</v>
      </c>
      <c r="AM233" s="101">
        <v>8474866.4900000002</v>
      </c>
      <c r="AN233" s="101">
        <v>4928634.1399999969</v>
      </c>
      <c r="AO233" s="101">
        <v>0</v>
      </c>
      <c r="AP233" s="101">
        <v>362159</v>
      </c>
      <c r="AQ233" s="101">
        <v>0</v>
      </c>
      <c r="AR233" s="101">
        <v>0</v>
      </c>
      <c r="AS233" s="101">
        <v>0</v>
      </c>
      <c r="AT233" s="101">
        <v>4566475.1399999969</v>
      </c>
      <c r="AU233" s="101">
        <v>973141.52</v>
      </c>
    </row>
    <row r="234" spans="1:47">
      <c r="A234" s="102" t="s">
        <v>916</v>
      </c>
      <c r="B234" s="102" t="e">
        <v>#N/A</v>
      </c>
      <c r="C234" s="101">
        <v>12993.14</v>
      </c>
      <c r="D234" s="101">
        <v>23744</v>
      </c>
      <c r="E234" s="101">
        <v>537015.66</v>
      </c>
      <c r="F234" s="101">
        <v>908663.06</v>
      </c>
      <c r="G234" s="101">
        <v>344846.35</v>
      </c>
      <c r="H234" s="101">
        <v>721175.29</v>
      </c>
      <c r="I234" s="101">
        <v>296212</v>
      </c>
      <c r="J234" s="101">
        <v>187487.77</v>
      </c>
      <c r="K234" s="101">
        <v>291662</v>
      </c>
      <c r="L234" s="101">
        <v>0</v>
      </c>
      <c r="M234" s="101">
        <v>0</v>
      </c>
      <c r="N234" s="101">
        <v>0</v>
      </c>
      <c r="O234" s="101">
        <v>0</v>
      </c>
      <c r="P234" s="101">
        <v>-104174.23</v>
      </c>
      <c r="Q234" s="101">
        <v>45518.59</v>
      </c>
      <c r="R234" s="101">
        <v>21835.919999999998</v>
      </c>
      <c r="S234" s="101">
        <v>40880</v>
      </c>
      <c r="T234" s="101">
        <v>897798.14</v>
      </c>
      <c r="U234" s="101">
        <v>1475010.84</v>
      </c>
      <c r="V234" s="101">
        <v>533312.09</v>
      </c>
      <c r="W234" s="101">
        <v>1203769.8999999999</v>
      </c>
      <c r="X234" s="101">
        <v>507792</v>
      </c>
      <c r="Y234" s="101">
        <v>271240.94</v>
      </c>
      <c r="Z234" s="101">
        <v>499992</v>
      </c>
      <c r="AA234" s="101">
        <v>0</v>
      </c>
      <c r="AB234" s="101">
        <v>0</v>
      </c>
      <c r="AC234" s="101">
        <v>0</v>
      </c>
      <c r="AD234" s="101">
        <v>0</v>
      </c>
      <c r="AE234" s="101">
        <v>-228751.06</v>
      </c>
      <c r="AF234" s="101">
        <v>72216.61</v>
      </c>
      <c r="AG234" s="101">
        <v>13910</v>
      </c>
      <c r="AH234" s="101">
        <v>23744</v>
      </c>
      <c r="AI234" s="101">
        <v>535846.05000000005</v>
      </c>
      <c r="AJ234" s="101">
        <v>834320.03</v>
      </c>
      <c r="AK234" s="101">
        <v>268715.84000000003</v>
      </c>
      <c r="AL234" s="101">
        <v>726657.74</v>
      </c>
      <c r="AM234" s="101">
        <v>291625.11</v>
      </c>
      <c r="AN234" s="101">
        <v>107662.29</v>
      </c>
      <c r="AO234" s="101">
        <v>291662</v>
      </c>
      <c r="AP234" s="101">
        <v>0</v>
      </c>
      <c r="AQ234" s="101">
        <v>0</v>
      </c>
      <c r="AR234" s="101">
        <v>0</v>
      </c>
      <c r="AS234" s="101">
        <v>0</v>
      </c>
      <c r="AT234" s="101">
        <v>-183999.71</v>
      </c>
      <c r="AU234" s="101">
        <v>20896.009999999998</v>
      </c>
    </row>
    <row r="235" spans="1:47">
      <c r="A235" s="102" t="s">
        <v>917</v>
      </c>
      <c r="B235" s="102" t="e">
        <v>#N/A</v>
      </c>
      <c r="C235" s="101">
        <v>10225</v>
      </c>
      <c r="D235" s="101">
        <v>14204</v>
      </c>
      <c r="E235" s="101">
        <v>961986.92</v>
      </c>
      <c r="F235" s="101">
        <v>1112547.8899999999</v>
      </c>
      <c r="G235" s="101">
        <v>116508.54</v>
      </c>
      <c r="H235" s="101">
        <v>494696.03</v>
      </c>
      <c r="I235" s="101">
        <v>242984</v>
      </c>
      <c r="J235" s="101">
        <v>617851.86</v>
      </c>
      <c r="K235" s="101">
        <v>594171.55000000005</v>
      </c>
      <c r="L235" s="101">
        <v>0</v>
      </c>
      <c r="M235" s="101">
        <v>0</v>
      </c>
      <c r="N235" s="101">
        <v>0</v>
      </c>
      <c r="O235" s="101">
        <v>0</v>
      </c>
      <c r="P235" s="101">
        <v>23680.31</v>
      </c>
      <c r="Q235" s="101">
        <v>88144.53</v>
      </c>
      <c r="R235" s="101">
        <v>17228</v>
      </c>
      <c r="S235" s="101">
        <v>24455</v>
      </c>
      <c r="T235" s="101">
        <v>1639606.92</v>
      </c>
      <c r="U235" s="101">
        <v>1890329.95</v>
      </c>
      <c r="V235" s="101">
        <v>193400</v>
      </c>
      <c r="W235" s="101">
        <v>838511.99</v>
      </c>
      <c r="X235" s="101">
        <v>415549</v>
      </c>
      <c r="Y235" s="101">
        <v>1051817.96</v>
      </c>
      <c r="Z235" s="101">
        <v>1018579.8</v>
      </c>
      <c r="AA235" s="101">
        <v>0</v>
      </c>
      <c r="AB235" s="101">
        <v>0</v>
      </c>
      <c r="AC235" s="101">
        <v>0</v>
      </c>
      <c r="AD235" s="101">
        <v>0</v>
      </c>
      <c r="AE235" s="101">
        <v>33238.160000000003</v>
      </c>
      <c r="AF235" s="101">
        <v>149945.18</v>
      </c>
      <c r="AG235" s="101">
        <v>10092</v>
      </c>
      <c r="AH235" s="101">
        <v>14204</v>
      </c>
      <c r="AI235" s="101">
        <v>954443.09</v>
      </c>
      <c r="AJ235" s="101">
        <v>1098213.76</v>
      </c>
      <c r="AK235" s="101">
        <v>114407.97</v>
      </c>
      <c r="AL235" s="101">
        <v>519737.32</v>
      </c>
      <c r="AM235" s="101">
        <v>240743.49</v>
      </c>
      <c r="AN235" s="101">
        <v>578476.43999999994</v>
      </c>
      <c r="AO235" s="101">
        <v>649082.24</v>
      </c>
      <c r="AP235" s="101">
        <v>0</v>
      </c>
      <c r="AQ235" s="101">
        <v>0</v>
      </c>
      <c r="AR235" s="101">
        <v>0</v>
      </c>
      <c r="AS235" s="101">
        <v>0</v>
      </c>
      <c r="AT235" s="101">
        <v>-70605.8</v>
      </c>
      <c r="AU235" s="101">
        <v>32092.57</v>
      </c>
    </row>
    <row r="236" spans="1:47">
      <c r="A236" s="102" t="s">
        <v>918</v>
      </c>
      <c r="B236" s="102" t="e">
        <v>#N/A</v>
      </c>
      <c r="C236" s="101">
        <v>25094</v>
      </c>
      <c r="D236" s="101">
        <v>33496</v>
      </c>
      <c r="E236" s="101">
        <v>1573438.28</v>
      </c>
      <c r="F236" s="101">
        <v>2035602.82</v>
      </c>
      <c r="G236" s="101">
        <v>395860.84</v>
      </c>
      <c r="H236" s="101">
        <v>1417423.87</v>
      </c>
      <c r="I236" s="101">
        <v>809564</v>
      </c>
      <c r="J236" s="101">
        <v>618178.94999999995</v>
      </c>
      <c r="K236" s="101">
        <v>762358.31</v>
      </c>
      <c r="L236" s="101">
        <v>62251</v>
      </c>
      <c r="M236" s="101">
        <v>0</v>
      </c>
      <c r="N236" s="101">
        <v>0</v>
      </c>
      <c r="O236" s="101">
        <v>0</v>
      </c>
      <c r="P236" s="101">
        <v>-206430.36</v>
      </c>
      <c r="Q236" s="101">
        <v>125236</v>
      </c>
      <c r="R236" s="101">
        <v>39940</v>
      </c>
      <c r="S236" s="101">
        <v>57670</v>
      </c>
      <c r="T236" s="101">
        <v>2483186.59</v>
      </c>
      <c r="U236" s="101">
        <v>3238619.62</v>
      </c>
      <c r="V236" s="101">
        <v>646387.68999999994</v>
      </c>
      <c r="W236" s="101">
        <v>2363193.39</v>
      </c>
      <c r="X236" s="101">
        <v>1387824</v>
      </c>
      <c r="Y236" s="101">
        <v>875426.23</v>
      </c>
      <c r="Z236" s="101">
        <v>1306899.96</v>
      </c>
      <c r="AA236" s="101">
        <v>106716</v>
      </c>
      <c r="AB236" s="101">
        <v>0</v>
      </c>
      <c r="AC236" s="101">
        <v>0</v>
      </c>
      <c r="AD236" s="101">
        <v>0</v>
      </c>
      <c r="AE236" s="101">
        <v>-538189.73</v>
      </c>
      <c r="AF236" s="101">
        <v>188522</v>
      </c>
      <c r="AG236" s="101">
        <v>23360</v>
      </c>
      <c r="AH236" s="101">
        <v>33496</v>
      </c>
      <c r="AI236" s="101">
        <v>1556392.47</v>
      </c>
      <c r="AJ236" s="101">
        <v>1987666</v>
      </c>
      <c r="AK236" s="101">
        <v>379588.59</v>
      </c>
      <c r="AL236" s="101">
        <v>1462714.18</v>
      </c>
      <c r="AM236" s="101">
        <v>810206.44</v>
      </c>
      <c r="AN236" s="101">
        <v>524951.81999999995</v>
      </c>
      <c r="AO236" s="101">
        <v>761789.85</v>
      </c>
      <c r="AP236" s="101">
        <v>136934.92000000001</v>
      </c>
      <c r="AQ236" s="101">
        <v>0</v>
      </c>
      <c r="AR236" s="101">
        <v>0</v>
      </c>
      <c r="AS236" s="101">
        <v>0</v>
      </c>
      <c r="AT236" s="101">
        <v>-373772.95</v>
      </c>
      <c r="AU236" s="101">
        <v>61811.61</v>
      </c>
    </row>
    <row r="237" spans="1:47">
      <c r="A237" s="102" t="s">
        <v>919</v>
      </c>
      <c r="B237" s="102" t="e">
        <v>#N/A</v>
      </c>
      <c r="C237" s="101">
        <v>20086</v>
      </c>
      <c r="D237" s="101">
        <v>36252</v>
      </c>
      <c r="E237" s="101">
        <v>2602793.12</v>
      </c>
      <c r="F237" s="101">
        <v>5479161.0700000012</v>
      </c>
      <c r="G237" s="101">
        <v>2470268.75</v>
      </c>
      <c r="H237" s="101">
        <v>4821589.9200000009</v>
      </c>
      <c r="I237" s="101">
        <v>1892138.08</v>
      </c>
      <c r="J237" s="101">
        <v>657571.15000000095</v>
      </c>
      <c r="K237" s="101">
        <v>3046385.37</v>
      </c>
      <c r="L237" s="101">
        <v>164400.95000000001</v>
      </c>
      <c r="M237" s="101">
        <v>0</v>
      </c>
      <c r="N237" s="101">
        <v>0</v>
      </c>
      <c r="O237" s="101">
        <v>0</v>
      </c>
      <c r="P237" s="101">
        <v>-2553215.17</v>
      </c>
      <c r="Q237" s="101">
        <v>79582.100000000006</v>
      </c>
      <c r="R237" s="101">
        <v>34755</v>
      </c>
      <c r="S237" s="101">
        <v>62415</v>
      </c>
      <c r="T237" s="101">
        <v>4509755.120000001</v>
      </c>
      <c r="U237" s="101">
        <v>9134621.5800000001</v>
      </c>
      <c r="V237" s="101">
        <v>3954976.8600000008</v>
      </c>
      <c r="W237" s="101">
        <v>8071823.8900000006</v>
      </c>
      <c r="X237" s="101">
        <v>3243665.2800000012</v>
      </c>
      <c r="Y237" s="101">
        <v>1062797.69</v>
      </c>
      <c r="Z237" s="101">
        <v>5222374.92</v>
      </c>
      <c r="AA237" s="101">
        <v>281830.2</v>
      </c>
      <c r="AB237" s="101">
        <v>0</v>
      </c>
      <c r="AC237" s="101">
        <v>0</v>
      </c>
      <c r="AD237" s="101">
        <v>0</v>
      </c>
      <c r="AE237" s="101">
        <v>-4441407.4300000006</v>
      </c>
      <c r="AF237" s="101">
        <v>129979.78</v>
      </c>
      <c r="AG237" s="101">
        <v>20927</v>
      </c>
      <c r="AH237" s="101">
        <v>36252</v>
      </c>
      <c r="AI237" s="101">
        <v>2692779.31</v>
      </c>
      <c r="AJ237" s="101">
        <v>5595610.7599999998</v>
      </c>
      <c r="AK237" s="101">
        <v>2380382.62</v>
      </c>
      <c r="AL237" s="101">
        <v>4998794.8899999997</v>
      </c>
      <c r="AM237" s="101">
        <v>2021140.91</v>
      </c>
      <c r="AN237" s="101">
        <v>596815.87</v>
      </c>
      <c r="AO237" s="101">
        <v>3035074.37</v>
      </c>
      <c r="AP237" s="101">
        <v>206441.08</v>
      </c>
      <c r="AQ237" s="101">
        <v>0</v>
      </c>
      <c r="AR237" s="101">
        <v>0</v>
      </c>
      <c r="AS237" s="101">
        <v>0</v>
      </c>
      <c r="AT237" s="101">
        <v>-2644699.580000001</v>
      </c>
      <c r="AU237" s="101">
        <v>203446.08</v>
      </c>
    </row>
    <row r="238" spans="1:47">
      <c r="A238" s="102" t="s">
        <v>920</v>
      </c>
      <c r="B238" s="102" t="e">
        <v>#N/A</v>
      </c>
      <c r="C238" s="101">
        <v>7575</v>
      </c>
      <c r="D238" s="101">
        <v>11448</v>
      </c>
      <c r="E238" s="101">
        <v>392528.91</v>
      </c>
      <c r="F238" s="101">
        <v>512985.89</v>
      </c>
      <c r="G238" s="101">
        <v>61567.61</v>
      </c>
      <c r="H238" s="101">
        <v>357241.87</v>
      </c>
      <c r="I238" s="101">
        <v>171042.48</v>
      </c>
      <c r="J238" s="101">
        <v>155744.01999999999</v>
      </c>
      <c r="K238" s="101">
        <v>126000</v>
      </c>
      <c r="L238" s="101">
        <v>0</v>
      </c>
      <c r="M238" s="101">
        <v>0</v>
      </c>
      <c r="N238" s="101">
        <v>0</v>
      </c>
      <c r="O238" s="101">
        <v>0</v>
      </c>
      <c r="P238" s="101">
        <v>29744.02</v>
      </c>
      <c r="Q238" s="101">
        <v>31908.27</v>
      </c>
      <c r="R238" s="101">
        <v>13207</v>
      </c>
      <c r="S238" s="101">
        <v>19710</v>
      </c>
      <c r="T238" s="101">
        <v>680405.71</v>
      </c>
      <c r="U238" s="101">
        <v>880149.04</v>
      </c>
      <c r="V238" s="101">
        <v>108076.36</v>
      </c>
      <c r="W238" s="101">
        <v>600584.94999999995</v>
      </c>
      <c r="X238" s="101">
        <v>293215.68</v>
      </c>
      <c r="Y238" s="101">
        <v>279564.09000000003</v>
      </c>
      <c r="Z238" s="101">
        <v>216000</v>
      </c>
      <c r="AA238" s="101">
        <v>0</v>
      </c>
      <c r="AB238" s="101">
        <v>0</v>
      </c>
      <c r="AC238" s="101">
        <v>0</v>
      </c>
      <c r="AD238" s="101">
        <v>0</v>
      </c>
      <c r="AE238" s="101">
        <v>63564.09</v>
      </c>
      <c r="AF238" s="101">
        <v>55979.81</v>
      </c>
      <c r="AG238" s="101">
        <v>7755</v>
      </c>
      <c r="AH238" s="101">
        <v>11448</v>
      </c>
      <c r="AI238" s="101">
        <v>418361.88</v>
      </c>
      <c r="AJ238" s="101">
        <v>530817.07999999996</v>
      </c>
      <c r="AK238" s="101">
        <v>63654.64</v>
      </c>
      <c r="AL238" s="101">
        <v>381381.68</v>
      </c>
      <c r="AM238" s="101">
        <v>178328.38</v>
      </c>
      <c r="AN238" s="101">
        <v>149435.4</v>
      </c>
      <c r="AO238" s="101">
        <v>126000</v>
      </c>
      <c r="AP238" s="101">
        <v>0</v>
      </c>
      <c r="AQ238" s="101">
        <v>0</v>
      </c>
      <c r="AR238" s="101">
        <v>0</v>
      </c>
      <c r="AS238" s="101">
        <v>0</v>
      </c>
      <c r="AT238" s="101">
        <v>23435.4</v>
      </c>
      <c r="AU238" s="101">
        <v>16684.37</v>
      </c>
    </row>
    <row r="239" spans="1:47">
      <c r="A239" s="102" t="s">
        <v>921</v>
      </c>
      <c r="B239" s="102" t="e">
        <v>#N/A</v>
      </c>
      <c r="C239" s="101">
        <v>75973.14</v>
      </c>
      <c r="D239" s="101">
        <v>119144</v>
      </c>
      <c r="E239" s="101">
        <v>6067762.8899999997</v>
      </c>
      <c r="F239" s="101">
        <v>10048960.73</v>
      </c>
      <c r="G239" s="101">
        <v>3389052.09</v>
      </c>
      <c r="H239" s="101">
        <v>7812126.9800000004</v>
      </c>
      <c r="I239" s="101">
        <v>3411940.56</v>
      </c>
      <c r="J239" s="101">
        <v>2236833.7499999991</v>
      </c>
      <c r="K239" s="101">
        <v>4820577.2300000014</v>
      </c>
      <c r="L239" s="101">
        <v>226651.95</v>
      </c>
      <c r="M239" s="101">
        <v>0</v>
      </c>
      <c r="N239" s="101">
        <v>0</v>
      </c>
      <c r="O239" s="101">
        <v>0</v>
      </c>
      <c r="P239" s="101">
        <v>-2810395.43</v>
      </c>
      <c r="Q239" s="101">
        <v>370389.49</v>
      </c>
      <c r="R239" s="101">
        <v>126965.92</v>
      </c>
      <c r="S239" s="101">
        <v>205130</v>
      </c>
      <c r="T239" s="101">
        <v>10210752.48</v>
      </c>
      <c r="U239" s="101">
        <v>16618731.030000001</v>
      </c>
      <c r="V239" s="101">
        <v>5436153</v>
      </c>
      <c r="W239" s="101">
        <v>13077884.120000003</v>
      </c>
      <c r="X239" s="101">
        <v>5848045.959999999</v>
      </c>
      <c r="Y239" s="101">
        <v>3540846.91</v>
      </c>
      <c r="Z239" s="101">
        <v>8263846.6799999997</v>
      </c>
      <c r="AA239" s="101">
        <v>388546.2</v>
      </c>
      <c r="AB239" s="101">
        <v>0</v>
      </c>
      <c r="AC239" s="101">
        <v>0</v>
      </c>
      <c r="AD239" s="101">
        <v>0</v>
      </c>
      <c r="AE239" s="101">
        <v>-5111545.9700000007</v>
      </c>
      <c r="AF239" s="101">
        <v>596643.38</v>
      </c>
      <c r="AG239" s="101">
        <v>76044</v>
      </c>
      <c r="AH239" s="101">
        <v>119144</v>
      </c>
      <c r="AI239" s="101">
        <v>6157822.7999999998</v>
      </c>
      <c r="AJ239" s="101">
        <v>10046627.630000001</v>
      </c>
      <c r="AK239" s="101">
        <v>3206749.66</v>
      </c>
      <c r="AL239" s="101">
        <v>8089285.8100000015</v>
      </c>
      <c r="AM239" s="101">
        <v>3542044.33</v>
      </c>
      <c r="AN239" s="101">
        <v>1957341.82</v>
      </c>
      <c r="AO239" s="101">
        <v>4863608.46</v>
      </c>
      <c r="AP239" s="101">
        <v>343376</v>
      </c>
      <c r="AQ239" s="101">
        <v>0</v>
      </c>
      <c r="AR239" s="101">
        <v>0</v>
      </c>
      <c r="AS239" s="101">
        <v>0</v>
      </c>
      <c r="AT239" s="101">
        <v>-3249642.64</v>
      </c>
      <c r="AU239" s="101">
        <v>334930.64</v>
      </c>
    </row>
    <row r="240" spans="1:47">
      <c r="A240" s="102" t="s">
        <v>922</v>
      </c>
      <c r="B240" s="102" t="e">
        <v>#N/A</v>
      </c>
      <c r="C240" s="101">
        <v>23625</v>
      </c>
      <c r="D240" s="101">
        <v>32012</v>
      </c>
      <c r="E240" s="101">
        <v>2563945.67</v>
      </c>
      <c r="F240" s="101">
        <v>3282925.67</v>
      </c>
      <c r="G240" s="101">
        <v>576927</v>
      </c>
      <c r="H240" s="101">
        <v>1874650.43</v>
      </c>
      <c r="I240" s="101">
        <v>1009729</v>
      </c>
      <c r="J240" s="101">
        <v>1408275.24</v>
      </c>
      <c r="K240" s="101">
        <v>150229</v>
      </c>
      <c r="L240" s="101">
        <v>51835</v>
      </c>
      <c r="M240" s="101">
        <v>0</v>
      </c>
      <c r="N240" s="101">
        <v>0</v>
      </c>
      <c r="O240" s="101">
        <v>0</v>
      </c>
      <c r="P240" s="101">
        <v>1206211.24</v>
      </c>
      <c r="Q240" s="101">
        <v>238042</v>
      </c>
      <c r="R240" s="101">
        <v>41620</v>
      </c>
      <c r="S240" s="101">
        <v>55115</v>
      </c>
      <c r="T240" s="101">
        <v>4507908.790000001</v>
      </c>
      <c r="U240" s="101">
        <v>5734113.790000001</v>
      </c>
      <c r="V240" s="101">
        <v>1005823</v>
      </c>
      <c r="W240" s="101">
        <v>3219236.43</v>
      </c>
      <c r="X240" s="101">
        <v>1730964</v>
      </c>
      <c r="Y240" s="101">
        <v>2514877.36</v>
      </c>
      <c r="Z240" s="101">
        <v>263911</v>
      </c>
      <c r="AA240" s="101">
        <v>88860</v>
      </c>
      <c r="AB240" s="101">
        <v>0</v>
      </c>
      <c r="AC240" s="101">
        <v>0</v>
      </c>
      <c r="AD240" s="101">
        <v>0</v>
      </c>
      <c r="AE240" s="101">
        <v>2162106.36</v>
      </c>
      <c r="AF240" s="101">
        <v>421408</v>
      </c>
      <c r="AG240" s="101">
        <v>21636</v>
      </c>
      <c r="AH240" s="101">
        <v>32012</v>
      </c>
      <c r="AI240" s="101">
        <v>2215736.0499999998</v>
      </c>
      <c r="AJ240" s="101">
        <v>2930146.76</v>
      </c>
      <c r="AK240" s="101">
        <v>584955.76</v>
      </c>
      <c r="AL240" s="101">
        <v>1784018.61</v>
      </c>
      <c r="AM240" s="101">
        <v>972177.74</v>
      </c>
      <c r="AN240" s="101">
        <v>1146128.1499999999</v>
      </c>
      <c r="AO240" s="101">
        <v>129063.44</v>
      </c>
      <c r="AP240" s="101">
        <v>51065</v>
      </c>
      <c r="AQ240" s="101">
        <v>0</v>
      </c>
      <c r="AR240" s="101">
        <v>0</v>
      </c>
      <c r="AS240" s="101">
        <v>0</v>
      </c>
      <c r="AT240" s="101">
        <v>965999.71</v>
      </c>
      <c r="AU240" s="101">
        <v>151587.84</v>
      </c>
    </row>
    <row r="241" spans="1:47">
      <c r="A241" s="102" t="s">
        <v>923</v>
      </c>
      <c r="B241" s="102" t="e">
        <v>#N/A</v>
      </c>
      <c r="C241" s="101">
        <v>21631.48</v>
      </c>
      <c r="D241" s="101">
        <v>26924</v>
      </c>
      <c r="E241" s="101">
        <v>973999.23</v>
      </c>
      <c r="F241" s="101">
        <v>1197529.6200000001</v>
      </c>
      <c r="G241" s="101">
        <v>192769.38</v>
      </c>
      <c r="H241" s="101">
        <v>899888.86</v>
      </c>
      <c r="I241" s="101">
        <v>337735.44</v>
      </c>
      <c r="J241" s="101">
        <v>297640.76</v>
      </c>
      <c r="K241" s="101">
        <v>0</v>
      </c>
      <c r="L241" s="101">
        <v>66878.210000000006</v>
      </c>
      <c r="M241" s="101">
        <v>0</v>
      </c>
      <c r="N241" s="101">
        <v>0</v>
      </c>
      <c r="O241" s="101">
        <v>0</v>
      </c>
      <c r="P241" s="101">
        <v>230762.55</v>
      </c>
      <c r="Q241" s="101">
        <v>65692.08</v>
      </c>
      <c r="R241" s="101">
        <v>36924.949999999997</v>
      </c>
      <c r="S241" s="101">
        <v>46355</v>
      </c>
      <c r="T241" s="101">
        <v>1625698.89</v>
      </c>
      <c r="U241" s="101">
        <v>1980563.49</v>
      </c>
      <c r="V241" s="101">
        <v>303750.26</v>
      </c>
      <c r="W241" s="101">
        <v>1525252.91</v>
      </c>
      <c r="X241" s="101">
        <v>579884.65</v>
      </c>
      <c r="Y241" s="101">
        <v>455310.58</v>
      </c>
      <c r="Z241" s="101">
        <v>0</v>
      </c>
      <c r="AA241" s="101">
        <v>114648.36</v>
      </c>
      <c r="AB241" s="101">
        <v>0</v>
      </c>
      <c r="AC241" s="101">
        <v>0</v>
      </c>
      <c r="AD241" s="101">
        <v>0</v>
      </c>
      <c r="AE241" s="101">
        <v>340662.22</v>
      </c>
      <c r="AF241" s="101">
        <v>104951.28</v>
      </c>
      <c r="AG241" s="101">
        <v>19587</v>
      </c>
      <c r="AH241" s="101">
        <v>26924</v>
      </c>
      <c r="AI241" s="101">
        <v>857516.93</v>
      </c>
      <c r="AJ241" s="101">
        <v>1051951.6200000001</v>
      </c>
      <c r="AK241" s="101">
        <v>169353.33</v>
      </c>
      <c r="AL241" s="101">
        <v>793629.29</v>
      </c>
      <c r="AM241" s="101">
        <v>358483.51</v>
      </c>
      <c r="AN241" s="101">
        <v>258322.33</v>
      </c>
      <c r="AO241" s="101">
        <v>0</v>
      </c>
      <c r="AP241" s="101">
        <v>63199.48</v>
      </c>
      <c r="AQ241" s="101">
        <v>0</v>
      </c>
      <c r="AR241" s="101">
        <v>0</v>
      </c>
      <c r="AS241" s="101">
        <v>0</v>
      </c>
      <c r="AT241" s="101">
        <v>195122.85</v>
      </c>
      <c r="AU241" s="101">
        <v>45738.55</v>
      </c>
    </row>
    <row r="242" spans="1:47">
      <c r="A242" s="102" t="s">
        <v>924</v>
      </c>
      <c r="B242" s="102" t="e">
        <v>#N/A</v>
      </c>
      <c r="C242" s="101">
        <v>38191</v>
      </c>
      <c r="D242" s="101">
        <v>59360</v>
      </c>
      <c r="E242" s="101">
        <v>4032286.4</v>
      </c>
      <c r="F242" s="101">
        <v>7156028.9400000013</v>
      </c>
      <c r="G242" s="101">
        <v>2308684</v>
      </c>
      <c r="H242" s="101">
        <v>5412622.370000001</v>
      </c>
      <c r="I242" s="101">
        <v>1597918</v>
      </c>
      <c r="J242" s="101">
        <v>1743406.57</v>
      </c>
      <c r="K242" s="101">
        <v>98868.42</v>
      </c>
      <c r="L242" s="101">
        <v>183245.09</v>
      </c>
      <c r="M242" s="101">
        <v>0</v>
      </c>
      <c r="N242" s="101">
        <v>0</v>
      </c>
      <c r="O242" s="101">
        <v>0</v>
      </c>
      <c r="P242" s="101">
        <v>1461293.06</v>
      </c>
      <c r="Q242" s="101">
        <v>364365.72</v>
      </c>
      <c r="R242" s="101">
        <v>67206</v>
      </c>
      <c r="S242" s="101">
        <v>102200</v>
      </c>
      <c r="T242" s="101">
        <v>6824937</v>
      </c>
      <c r="U242" s="101">
        <v>12314968.039999999</v>
      </c>
      <c r="V242" s="101">
        <v>4071708</v>
      </c>
      <c r="W242" s="101">
        <v>9323903.9100000001</v>
      </c>
      <c r="X242" s="101">
        <v>2738788</v>
      </c>
      <c r="Y242" s="101">
        <v>2991064.13</v>
      </c>
      <c r="Z242" s="101">
        <v>169488.72</v>
      </c>
      <c r="AA242" s="101">
        <v>314134.44</v>
      </c>
      <c r="AB242" s="101">
        <v>0</v>
      </c>
      <c r="AC242" s="101">
        <v>0</v>
      </c>
      <c r="AD242" s="101">
        <v>0</v>
      </c>
      <c r="AE242" s="101">
        <v>2507440.9700000002</v>
      </c>
      <c r="AF242" s="101">
        <v>633863.68000000005</v>
      </c>
      <c r="AG242" s="101">
        <v>34241</v>
      </c>
      <c r="AH242" s="101">
        <v>59360</v>
      </c>
      <c r="AI242" s="101">
        <v>3528536.06</v>
      </c>
      <c r="AJ242" s="101">
        <v>6391774.1800000006</v>
      </c>
      <c r="AK242" s="101">
        <v>2148515.5299999998</v>
      </c>
      <c r="AL242" s="101">
        <v>5026769.9200000009</v>
      </c>
      <c r="AM242" s="101">
        <v>1468965.04</v>
      </c>
      <c r="AN242" s="101">
        <v>1365004.26</v>
      </c>
      <c r="AO242" s="101">
        <v>97602.12</v>
      </c>
      <c r="AP242" s="101">
        <v>213846.37</v>
      </c>
      <c r="AQ242" s="101">
        <v>0</v>
      </c>
      <c r="AR242" s="101">
        <v>0</v>
      </c>
      <c r="AS242" s="101">
        <v>0</v>
      </c>
      <c r="AT242" s="101">
        <v>1053555.7700000009</v>
      </c>
      <c r="AU242" s="101">
        <v>261247.87</v>
      </c>
    </row>
    <row r="243" spans="1:47">
      <c r="A243" s="102" t="s">
        <v>925</v>
      </c>
      <c r="B243" s="102" t="e">
        <v>#N/A</v>
      </c>
      <c r="C243" s="101">
        <v>8566</v>
      </c>
      <c r="D243" s="101">
        <v>10600</v>
      </c>
      <c r="E243" s="101">
        <v>588096.4</v>
      </c>
      <c r="F243" s="101">
        <v>732334.4</v>
      </c>
      <c r="G243" s="101">
        <v>136630</v>
      </c>
      <c r="H243" s="101">
        <v>410612.18</v>
      </c>
      <c r="I243" s="101">
        <v>153265</v>
      </c>
      <c r="J243" s="101">
        <v>321722.21999999997</v>
      </c>
      <c r="K243" s="101">
        <v>257485.54</v>
      </c>
      <c r="L243" s="101">
        <v>0</v>
      </c>
      <c r="M243" s="101">
        <v>0</v>
      </c>
      <c r="N243" s="101">
        <v>0</v>
      </c>
      <c r="O243" s="101">
        <v>0</v>
      </c>
      <c r="P243" s="101">
        <v>64236.68</v>
      </c>
      <c r="Q243" s="101">
        <v>50249.919999999998</v>
      </c>
      <c r="R243" s="101">
        <v>14622</v>
      </c>
      <c r="S243" s="101">
        <v>18250</v>
      </c>
      <c r="T243" s="101">
        <v>1052262.3999999999</v>
      </c>
      <c r="U243" s="101">
        <v>1276155.3999999999</v>
      </c>
      <c r="V243" s="101">
        <v>211660</v>
      </c>
      <c r="W243" s="101">
        <v>697705.88</v>
      </c>
      <c r="X243" s="101">
        <v>262740</v>
      </c>
      <c r="Y243" s="101">
        <v>578449.52</v>
      </c>
      <c r="Z243" s="101">
        <v>465898.64</v>
      </c>
      <c r="AA243" s="101">
        <v>0</v>
      </c>
      <c r="AB243" s="101">
        <v>0</v>
      </c>
      <c r="AC243" s="101">
        <v>0</v>
      </c>
      <c r="AD243" s="101">
        <v>0</v>
      </c>
      <c r="AE243" s="101">
        <v>112550.88</v>
      </c>
      <c r="AF243" s="101">
        <v>89733.14</v>
      </c>
      <c r="AG243" s="101">
        <v>8263</v>
      </c>
      <c r="AH243" s="101">
        <v>10600</v>
      </c>
      <c r="AI243" s="101">
        <v>579104.09</v>
      </c>
      <c r="AJ243" s="101">
        <v>711395.66</v>
      </c>
      <c r="AK243" s="101">
        <v>123833.83</v>
      </c>
      <c r="AL243" s="101">
        <v>396667.69</v>
      </c>
      <c r="AM243" s="101">
        <v>142585.12</v>
      </c>
      <c r="AN243" s="101">
        <v>314727.96999999997</v>
      </c>
      <c r="AO243" s="101">
        <v>243793.7</v>
      </c>
      <c r="AP243" s="101">
        <v>0</v>
      </c>
      <c r="AQ243" s="101">
        <v>0</v>
      </c>
      <c r="AR243" s="101">
        <v>0</v>
      </c>
      <c r="AS243" s="101">
        <v>0</v>
      </c>
      <c r="AT243" s="101">
        <v>70934.27</v>
      </c>
      <c r="AU243" s="101">
        <v>38804.910000000003</v>
      </c>
    </row>
    <row r="244" spans="1:47">
      <c r="A244" s="102" t="s">
        <v>926</v>
      </c>
      <c r="B244" s="102" t="e">
        <v>#N/A</v>
      </c>
      <c r="C244" s="101">
        <v>14633</v>
      </c>
      <c r="D244" s="101">
        <v>17808</v>
      </c>
      <c r="E244" s="101">
        <v>1148680.8999999999</v>
      </c>
      <c r="F244" s="101">
        <v>1416492.29</v>
      </c>
      <c r="G244" s="101">
        <v>203625.16</v>
      </c>
      <c r="H244" s="101">
        <v>869184.63</v>
      </c>
      <c r="I244" s="101">
        <v>421272.27</v>
      </c>
      <c r="J244" s="101">
        <v>547307.66</v>
      </c>
      <c r="K244" s="101">
        <v>407426.81</v>
      </c>
      <c r="L244" s="101">
        <v>0</v>
      </c>
      <c r="M244" s="101">
        <v>0</v>
      </c>
      <c r="N244" s="101">
        <v>0</v>
      </c>
      <c r="O244" s="101">
        <v>0</v>
      </c>
      <c r="P244" s="101">
        <v>139880.85</v>
      </c>
      <c r="Q244" s="101">
        <v>92976.07</v>
      </c>
      <c r="R244" s="101">
        <v>25144</v>
      </c>
      <c r="S244" s="101">
        <v>30660</v>
      </c>
      <c r="T244" s="101">
        <v>2070607.79</v>
      </c>
      <c r="U244" s="101">
        <v>2552190.2599999998</v>
      </c>
      <c r="V244" s="101">
        <v>373028.67</v>
      </c>
      <c r="W244" s="101">
        <v>1524420.79</v>
      </c>
      <c r="X244" s="101">
        <v>729510.68</v>
      </c>
      <c r="Y244" s="101">
        <v>1027769.47</v>
      </c>
      <c r="Z244" s="101">
        <v>698445.96</v>
      </c>
      <c r="AA244" s="101">
        <v>0</v>
      </c>
      <c r="AB244" s="101">
        <v>0</v>
      </c>
      <c r="AC244" s="101">
        <v>0</v>
      </c>
      <c r="AD244" s="101">
        <v>0</v>
      </c>
      <c r="AE244" s="101">
        <v>329323.51</v>
      </c>
      <c r="AF244" s="101">
        <v>171686.1</v>
      </c>
      <c r="AG244" s="101">
        <v>13413</v>
      </c>
      <c r="AH244" s="101">
        <v>17808</v>
      </c>
      <c r="AI244" s="101">
        <v>1035331.62</v>
      </c>
      <c r="AJ244" s="101">
        <v>1331048.3899999999</v>
      </c>
      <c r="AK244" s="101">
        <v>228565.21</v>
      </c>
      <c r="AL244" s="101">
        <v>879701.57</v>
      </c>
      <c r="AM244" s="101">
        <v>425505.94</v>
      </c>
      <c r="AN244" s="101">
        <v>451346.82</v>
      </c>
      <c r="AO244" s="101">
        <v>402609.9</v>
      </c>
      <c r="AP244" s="101">
        <v>0</v>
      </c>
      <c r="AQ244" s="101">
        <v>0</v>
      </c>
      <c r="AR244" s="101">
        <v>0</v>
      </c>
      <c r="AS244" s="101">
        <v>0</v>
      </c>
      <c r="AT244" s="101">
        <v>48736.92</v>
      </c>
      <c r="AU244" s="101">
        <v>65326.83</v>
      </c>
    </row>
    <row r="245" spans="1:47">
      <c r="A245" s="102" t="s">
        <v>927</v>
      </c>
      <c r="B245" s="102" t="e">
        <v>#N/A</v>
      </c>
      <c r="C245" s="101">
        <v>8264.0300000000007</v>
      </c>
      <c r="D245" s="101">
        <v>10176</v>
      </c>
      <c r="E245" s="101">
        <v>639470.77</v>
      </c>
      <c r="F245" s="101">
        <v>707085.46</v>
      </c>
      <c r="G245" s="101">
        <v>63109.69</v>
      </c>
      <c r="H245" s="101">
        <v>357515.27</v>
      </c>
      <c r="I245" s="101">
        <v>175174</v>
      </c>
      <c r="J245" s="101">
        <v>349570.19</v>
      </c>
      <c r="K245" s="101">
        <v>337334.97</v>
      </c>
      <c r="L245" s="101">
        <v>7553</v>
      </c>
      <c r="M245" s="101">
        <v>0</v>
      </c>
      <c r="N245" s="101">
        <v>0</v>
      </c>
      <c r="O245" s="101">
        <v>0</v>
      </c>
      <c r="P245" s="101">
        <v>4682.22</v>
      </c>
      <c r="Q245" s="101">
        <v>54048.32</v>
      </c>
      <c r="R245" s="101">
        <v>13538.27</v>
      </c>
      <c r="S245" s="101">
        <v>16032</v>
      </c>
      <c r="T245" s="101">
        <v>1068079.05</v>
      </c>
      <c r="U245" s="101">
        <v>1177333.72</v>
      </c>
      <c r="V245" s="101">
        <v>102704.67</v>
      </c>
      <c r="W245" s="101">
        <v>565034.06999999995</v>
      </c>
      <c r="X245" s="101">
        <v>280654</v>
      </c>
      <c r="Y245" s="101">
        <v>612299.65</v>
      </c>
      <c r="Z245" s="101">
        <v>530097.81000000006</v>
      </c>
      <c r="AA245" s="101">
        <v>11869</v>
      </c>
      <c r="AB245" s="101">
        <v>0</v>
      </c>
      <c r="AC245" s="101">
        <v>0</v>
      </c>
      <c r="AD245" s="101">
        <v>0</v>
      </c>
      <c r="AE245" s="101">
        <v>70332.84</v>
      </c>
      <c r="AF245" s="101">
        <v>93017.96</v>
      </c>
      <c r="AG245" s="101">
        <v>7639</v>
      </c>
      <c r="AH245" s="101">
        <v>10176</v>
      </c>
      <c r="AI245" s="101">
        <v>555421.16</v>
      </c>
      <c r="AJ245" s="101">
        <v>620289.66</v>
      </c>
      <c r="AK245" s="101">
        <v>58893.53</v>
      </c>
      <c r="AL245" s="101">
        <v>340069.92</v>
      </c>
      <c r="AM245" s="101">
        <v>138296.81</v>
      </c>
      <c r="AN245" s="101">
        <v>280219.74</v>
      </c>
      <c r="AO245" s="101">
        <v>340663.96</v>
      </c>
      <c r="AP245" s="101">
        <v>0</v>
      </c>
      <c r="AQ245" s="101">
        <v>0</v>
      </c>
      <c r="AR245" s="101">
        <v>0</v>
      </c>
      <c r="AS245" s="101">
        <v>0</v>
      </c>
      <c r="AT245" s="101">
        <v>-60444.22</v>
      </c>
      <c r="AU245" s="101">
        <v>34282.31</v>
      </c>
    </row>
    <row r="246" spans="1:47">
      <c r="A246" s="102" t="s">
        <v>928</v>
      </c>
      <c r="B246" s="102" t="e">
        <v>#N/A</v>
      </c>
      <c r="C246" s="101">
        <v>11868.06</v>
      </c>
      <c r="D246" s="101">
        <v>14840</v>
      </c>
      <c r="E246" s="101">
        <v>1288756.28</v>
      </c>
      <c r="F246" s="101">
        <v>1405715.13</v>
      </c>
      <c r="G246" s="101">
        <v>111408.85</v>
      </c>
      <c r="H246" s="101">
        <v>553646.55000000005</v>
      </c>
      <c r="I246" s="101">
        <v>220841.46</v>
      </c>
      <c r="J246" s="101">
        <v>852068.58</v>
      </c>
      <c r="K246" s="101">
        <v>546953.04</v>
      </c>
      <c r="L246" s="101">
        <v>1575</v>
      </c>
      <c r="M246" s="101">
        <v>0</v>
      </c>
      <c r="N246" s="101">
        <v>0</v>
      </c>
      <c r="O246" s="101">
        <v>0</v>
      </c>
      <c r="P246" s="101">
        <v>303540.53999999998</v>
      </c>
      <c r="Q246" s="101">
        <v>123161.16</v>
      </c>
      <c r="R246" s="101">
        <v>20762.59</v>
      </c>
      <c r="S246" s="101">
        <v>25550</v>
      </c>
      <c r="T246" s="101">
        <v>2253740.7400000002</v>
      </c>
      <c r="U246" s="101">
        <v>2462385.7599999998</v>
      </c>
      <c r="V246" s="101">
        <v>197510.02</v>
      </c>
      <c r="W246" s="101">
        <v>949616.33</v>
      </c>
      <c r="X246" s="101">
        <v>384081.82</v>
      </c>
      <c r="Y246" s="101">
        <v>1512769.43</v>
      </c>
      <c r="Z246" s="101">
        <v>973068.64</v>
      </c>
      <c r="AA246" s="101">
        <v>2700</v>
      </c>
      <c r="AB246" s="101">
        <v>0</v>
      </c>
      <c r="AC246" s="101">
        <v>0</v>
      </c>
      <c r="AD246" s="101">
        <v>0</v>
      </c>
      <c r="AE246" s="101">
        <v>537000.79</v>
      </c>
      <c r="AF246" s="101">
        <v>217761.34</v>
      </c>
      <c r="AG246" s="101">
        <v>10987</v>
      </c>
      <c r="AH246" s="101">
        <v>14840</v>
      </c>
      <c r="AI246" s="101">
        <v>1093313.02</v>
      </c>
      <c r="AJ246" s="101">
        <v>1215920.6599999999</v>
      </c>
      <c r="AK246" s="101">
        <v>114575.67</v>
      </c>
      <c r="AL246" s="101">
        <v>531919.73</v>
      </c>
      <c r="AM246" s="101">
        <v>205377.75</v>
      </c>
      <c r="AN246" s="101">
        <v>684000.93</v>
      </c>
      <c r="AO246" s="101">
        <v>549877.62</v>
      </c>
      <c r="AP246" s="101">
        <v>0</v>
      </c>
      <c r="AQ246" s="101">
        <v>0</v>
      </c>
      <c r="AR246" s="101">
        <v>0</v>
      </c>
      <c r="AS246" s="101">
        <v>0</v>
      </c>
      <c r="AT246" s="101">
        <v>134123.31</v>
      </c>
      <c r="AU246" s="101">
        <v>75346.759999999995</v>
      </c>
    </row>
    <row r="247" spans="1:47">
      <c r="A247" s="102" t="s">
        <v>929</v>
      </c>
      <c r="B247" s="102" t="e">
        <v>#N/A</v>
      </c>
      <c r="C247" s="101">
        <v>12261</v>
      </c>
      <c r="D247" s="101">
        <v>15052</v>
      </c>
      <c r="E247" s="101">
        <v>961163.5</v>
      </c>
      <c r="F247" s="101">
        <v>1063991.24</v>
      </c>
      <c r="G247" s="101">
        <v>88915.68</v>
      </c>
      <c r="H247" s="101">
        <v>559816.64</v>
      </c>
      <c r="I247" s="101">
        <v>235003.26</v>
      </c>
      <c r="J247" s="101">
        <v>504174.6</v>
      </c>
      <c r="K247" s="101">
        <v>0</v>
      </c>
      <c r="L247" s="101">
        <v>13544.51</v>
      </c>
      <c r="M247" s="101">
        <v>0</v>
      </c>
      <c r="N247" s="101">
        <v>0</v>
      </c>
      <c r="O247" s="101">
        <v>0</v>
      </c>
      <c r="P247" s="101">
        <v>490630.09</v>
      </c>
      <c r="Q247" s="101">
        <v>0</v>
      </c>
      <c r="R247" s="101">
        <v>20961</v>
      </c>
      <c r="S247" s="101">
        <v>25915</v>
      </c>
      <c r="T247" s="101">
        <v>1668438.07</v>
      </c>
      <c r="U247" s="101">
        <v>1838829.77</v>
      </c>
      <c r="V247" s="101">
        <v>150007.18</v>
      </c>
      <c r="W247" s="101">
        <v>939080.17</v>
      </c>
      <c r="X247" s="101">
        <v>405437.65</v>
      </c>
      <c r="Y247" s="101">
        <v>899749.6</v>
      </c>
      <c r="Z247" s="101">
        <v>0</v>
      </c>
      <c r="AA247" s="101">
        <v>23219.16</v>
      </c>
      <c r="AB247" s="101">
        <v>0</v>
      </c>
      <c r="AC247" s="101">
        <v>0</v>
      </c>
      <c r="AD247" s="101">
        <v>0</v>
      </c>
      <c r="AE247" s="101">
        <v>876530.44</v>
      </c>
      <c r="AF247" s="101">
        <v>0</v>
      </c>
      <c r="AG247" s="101">
        <v>11300</v>
      </c>
      <c r="AH247" s="101">
        <v>15052</v>
      </c>
      <c r="AI247" s="101">
        <v>810178.82</v>
      </c>
      <c r="AJ247" s="101">
        <v>911083.48</v>
      </c>
      <c r="AK247" s="101">
        <v>86257.53</v>
      </c>
      <c r="AL247" s="101">
        <v>545923.9</v>
      </c>
      <c r="AM247" s="101">
        <v>238415.58</v>
      </c>
      <c r="AN247" s="101">
        <v>365159.58</v>
      </c>
      <c r="AO247" s="101">
        <v>0</v>
      </c>
      <c r="AP247" s="101">
        <v>13325.08</v>
      </c>
      <c r="AQ247" s="101">
        <v>0</v>
      </c>
      <c r="AR247" s="101">
        <v>0</v>
      </c>
      <c r="AS247" s="101">
        <v>0</v>
      </c>
      <c r="AT247" s="101">
        <v>351834.5</v>
      </c>
      <c r="AU247" s="101">
        <v>47065.34</v>
      </c>
    </row>
    <row r="248" spans="1:47">
      <c r="A248" s="102" t="s">
        <v>930</v>
      </c>
      <c r="B248" s="102" t="e">
        <v>#N/A</v>
      </c>
      <c r="C248" s="101">
        <v>23176</v>
      </c>
      <c r="D248" s="101">
        <v>31800</v>
      </c>
      <c r="E248" s="101">
        <v>1434027.32</v>
      </c>
      <c r="F248" s="101">
        <v>2259940.8800000008</v>
      </c>
      <c r="G248" s="101">
        <v>750711</v>
      </c>
      <c r="H248" s="101">
        <v>1719051.23</v>
      </c>
      <c r="I248" s="101">
        <v>867455.25</v>
      </c>
      <c r="J248" s="101">
        <v>540889.65</v>
      </c>
      <c r="K248" s="101">
        <v>0</v>
      </c>
      <c r="L248" s="101">
        <v>67625.39</v>
      </c>
      <c r="M248" s="101">
        <v>0</v>
      </c>
      <c r="N248" s="101">
        <v>0</v>
      </c>
      <c r="O248" s="101">
        <v>0</v>
      </c>
      <c r="P248" s="101">
        <v>473264.26</v>
      </c>
      <c r="Q248" s="101">
        <v>121824.91</v>
      </c>
      <c r="R248" s="101">
        <v>39691.08</v>
      </c>
      <c r="S248" s="101">
        <v>54750</v>
      </c>
      <c r="T248" s="101">
        <v>2404911.84</v>
      </c>
      <c r="U248" s="101">
        <v>3799155</v>
      </c>
      <c r="V248" s="101">
        <v>1268469</v>
      </c>
      <c r="W248" s="101">
        <v>2929009.3000000012</v>
      </c>
      <c r="X248" s="101">
        <v>1494806.91</v>
      </c>
      <c r="Y248" s="101">
        <v>870145.7</v>
      </c>
      <c r="Z248" s="101">
        <v>0</v>
      </c>
      <c r="AA248" s="101">
        <v>115929.24</v>
      </c>
      <c r="AB248" s="101">
        <v>0</v>
      </c>
      <c r="AC248" s="101">
        <v>0</v>
      </c>
      <c r="AD248" s="101">
        <v>0</v>
      </c>
      <c r="AE248" s="101">
        <v>754216.46</v>
      </c>
      <c r="AF248" s="101">
        <v>200882.11</v>
      </c>
      <c r="AG248" s="101">
        <v>21081</v>
      </c>
      <c r="AH248" s="101">
        <v>31800</v>
      </c>
      <c r="AI248" s="101">
        <v>1367019.71</v>
      </c>
      <c r="AJ248" s="101">
        <v>2163106.63</v>
      </c>
      <c r="AK248" s="101">
        <v>731027.38</v>
      </c>
      <c r="AL248" s="101">
        <v>1675413.58</v>
      </c>
      <c r="AM248" s="101">
        <v>849283.88</v>
      </c>
      <c r="AN248" s="101">
        <v>487693.05</v>
      </c>
      <c r="AO248" s="101">
        <v>0</v>
      </c>
      <c r="AP248" s="101">
        <v>67343.61</v>
      </c>
      <c r="AQ248" s="101">
        <v>0</v>
      </c>
      <c r="AR248" s="101">
        <v>0</v>
      </c>
      <c r="AS248" s="101">
        <v>0</v>
      </c>
      <c r="AT248" s="101">
        <v>420349.44</v>
      </c>
      <c r="AU248" s="101">
        <v>90840.29</v>
      </c>
    </row>
    <row r="249" spans="1:47">
      <c r="A249" s="102" t="s">
        <v>931</v>
      </c>
      <c r="B249" s="102" t="e">
        <v>#N/A</v>
      </c>
      <c r="C249" s="101">
        <v>162215.57</v>
      </c>
      <c r="D249" s="101">
        <v>218572</v>
      </c>
      <c r="E249" s="101">
        <v>13630426.470000003</v>
      </c>
      <c r="F249" s="101">
        <v>19222043.629999999</v>
      </c>
      <c r="G249" s="101">
        <v>4432780.76</v>
      </c>
      <c r="H249" s="101">
        <v>12656988.16</v>
      </c>
      <c r="I249" s="101">
        <v>5018393.68</v>
      </c>
      <c r="J249" s="101">
        <v>6565055.4699999988</v>
      </c>
      <c r="K249" s="101">
        <v>1798297.78</v>
      </c>
      <c r="L249" s="101">
        <v>392256.2</v>
      </c>
      <c r="M249" s="101">
        <v>0</v>
      </c>
      <c r="N249" s="101">
        <v>0</v>
      </c>
      <c r="O249" s="101">
        <v>0</v>
      </c>
      <c r="P249" s="101">
        <v>4374501.4899999993</v>
      </c>
      <c r="Q249" s="101">
        <v>1110360.18</v>
      </c>
      <c r="R249" s="101">
        <v>280469.89</v>
      </c>
      <c r="S249" s="101">
        <v>374827</v>
      </c>
      <c r="T249" s="101">
        <v>23476584.57</v>
      </c>
      <c r="U249" s="101">
        <v>33135695.23</v>
      </c>
      <c r="V249" s="101">
        <v>7684660.8000000007</v>
      </c>
      <c r="W249" s="101">
        <v>21673259.790000003</v>
      </c>
      <c r="X249" s="101">
        <v>8606867.7100000009</v>
      </c>
      <c r="Y249" s="101">
        <v>11462435.440000003</v>
      </c>
      <c r="Z249" s="101">
        <v>3100910.77</v>
      </c>
      <c r="AA249" s="101">
        <v>671360.2</v>
      </c>
      <c r="AB249" s="101">
        <v>0</v>
      </c>
      <c r="AC249" s="101">
        <v>0</v>
      </c>
      <c r="AD249" s="101">
        <v>0</v>
      </c>
      <c r="AE249" s="101">
        <v>7690164.4700000053</v>
      </c>
      <c r="AF249" s="101">
        <v>1933303.61</v>
      </c>
      <c r="AG249" s="101">
        <v>148147</v>
      </c>
      <c r="AH249" s="101">
        <v>218572</v>
      </c>
      <c r="AI249" s="101">
        <v>12042157.460000003</v>
      </c>
      <c r="AJ249" s="101">
        <v>17326717.040000003</v>
      </c>
      <c r="AK249" s="101">
        <v>4245977.7699999996</v>
      </c>
      <c r="AL249" s="101">
        <v>11974114.210000005</v>
      </c>
      <c r="AM249" s="101">
        <v>4799091.37</v>
      </c>
      <c r="AN249" s="101">
        <v>5352602.8300000019</v>
      </c>
      <c r="AO249" s="101">
        <v>1763610.74</v>
      </c>
      <c r="AP249" s="101">
        <v>408779.54</v>
      </c>
      <c r="AQ249" s="101">
        <v>0</v>
      </c>
      <c r="AR249" s="101">
        <v>0</v>
      </c>
      <c r="AS249" s="101">
        <v>0</v>
      </c>
      <c r="AT249" s="101">
        <v>3180212.5500000021</v>
      </c>
      <c r="AU249" s="101">
        <v>810240.7</v>
      </c>
    </row>
    <row r="250" spans="1:47">
      <c r="A250" s="102" t="s">
        <v>932</v>
      </c>
      <c r="B250" s="102" t="e">
        <v>#N/A</v>
      </c>
      <c r="C250" s="101">
        <v>9454</v>
      </c>
      <c r="D250" s="101">
        <v>12720</v>
      </c>
      <c r="E250" s="101">
        <v>570803.53</v>
      </c>
      <c r="F250" s="101">
        <v>700580.87</v>
      </c>
      <c r="G250" s="101">
        <v>108735.82</v>
      </c>
      <c r="H250" s="101">
        <v>502068.98</v>
      </c>
      <c r="I250" s="101">
        <v>212373.19</v>
      </c>
      <c r="J250" s="101">
        <v>198511.89</v>
      </c>
      <c r="K250" s="101">
        <v>0</v>
      </c>
      <c r="L250" s="101">
        <v>11652.2</v>
      </c>
      <c r="M250" s="101">
        <v>0</v>
      </c>
      <c r="N250" s="101">
        <v>0</v>
      </c>
      <c r="O250" s="101">
        <v>0</v>
      </c>
      <c r="P250" s="101">
        <v>186859.69</v>
      </c>
      <c r="Q250" s="101">
        <v>38880.86</v>
      </c>
      <c r="R250" s="101">
        <v>16491</v>
      </c>
      <c r="S250" s="101">
        <v>21900</v>
      </c>
      <c r="T250" s="101">
        <v>1014800.18</v>
      </c>
      <c r="U250" s="101">
        <v>1257310</v>
      </c>
      <c r="V250" s="101">
        <v>200923.1</v>
      </c>
      <c r="W250" s="101">
        <v>859753.1</v>
      </c>
      <c r="X250" s="101">
        <v>360141.71</v>
      </c>
      <c r="Y250" s="101">
        <v>397556.9</v>
      </c>
      <c r="Z250" s="101">
        <v>0</v>
      </c>
      <c r="AA250" s="101">
        <v>21715.82</v>
      </c>
      <c r="AB250" s="101">
        <v>0</v>
      </c>
      <c r="AC250" s="101">
        <v>0</v>
      </c>
      <c r="AD250" s="101">
        <v>0</v>
      </c>
      <c r="AE250" s="101">
        <v>375841.08</v>
      </c>
      <c r="AF250" s="101">
        <v>95290.8</v>
      </c>
      <c r="AG250" s="101">
        <v>9896</v>
      </c>
      <c r="AH250" s="101">
        <v>12720</v>
      </c>
      <c r="AI250" s="101">
        <v>538246.13</v>
      </c>
      <c r="AJ250" s="101">
        <v>656582.77</v>
      </c>
      <c r="AK250" s="101">
        <v>94872.65</v>
      </c>
      <c r="AL250" s="101">
        <v>507858.96</v>
      </c>
      <c r="AM250" s="101">
        <v>265490.13</v>
      </c>
      <c r="AN250" s="101">
        <v>148723.81</v>
      </c>
      <c r="AO250" s="101">
        <v>0</v>
      </c>
      <c r="AP250" s="101">
        <v>10584</v>
      </c>
      <c r="AQ250" s="101">
        <v>0</v>
      </c>
      <c r="AR250" s="101">
        <v>0</v>
      </c>
      <c r="AS250" s="101">
        <v>0</v>
      </c>
      <c r="AT250" s="101">
        <v>138139.81</v>
      </c>
      <c r="AU250" s="101">
        <v>27532.799999999999</v>
      </c>
    </row>
    <row r="251" spans="1:47">
      <c r="A251" s="102" t="s">
        <v>933</v>
      </c>
      <c r="B251" s="102" t="e">
        <v>#N/A</v>
      </c>
      <c r="C251" s="101">
        <v>7976</v>
      </c>
      <c r="D251" s="101">
        <v>18232</v>
      </c>
      <c r="E251" s="101">
        <v>343291.29</v>
      </c>
      <c r="F251" s="101">
        <v>536165.16</v>
      </c>
      <c r="G251" s="101">
        <v>131691.10999999999</v>
      </c>
      <c r="H251" s="101">
        <v>522472.48</v>
      </c>
      <c r="I251" s="101">
        <v>299686.40000000002</v>
      </c>
      <c r="J251" s="101">
        <v>13692.68</v>
      </c>
      <c r="K251" s="101">
        <v>0</v>
      </c>
      <c r="L251" s="101">
        <v>20657</v>
      </c>
      <c r="M251" s="101">
        <v>0</v>
      </c>
      <c r="N251" s="101">
        <v>0</v>
      </c>
      <c r="O251" s="101">
        <v>0</v>
      </c>
      <c r="P251" s="101">
        <v>-6964.32</v>
      </c>
      <c r="Q251" s="101">
        <v>17475.689999999999</v>
      </c>
      <c r="R251" s="101">
        <v>14173</v>
      </c>
      <c r="S251" s="101">
        <v>31390</v>
      </c>
      <c r="T251" s="101">
        <v>595674.16</v>
      </c>
      <c r="U251" s="101">
        <v>919180.62</v>
      </c>
      <c r="V251" s="101">
        <v>219906.61</v>
      </c>
      <c r="W251" s="101">
        <v>905036.77</v>
      </c>
      <c r="X251" s="101">
        <v>514490.12</v>
      </c>
      <c r="Y251" s="101">
        <v>14143.85</v>
      </c>
      <c r="Z251" s="101">
        <v>0</v>
      </c>
      <c r="AA251" s="101">
        <v>35412</v>
      </c>
      <c r="AB251" s="101">
        <v>0</v>
      </c>
      <c r="AC251" s="101">
        <v>0</v>
      </c>
      <c r="AD251" s="101">
        <v>0</v>
      </c>
      <c r="AE251" s="101">
        <v>-21268.15</v>
      </c>
      <c r="AF251" s="101">
        <v>29017.88</v>
      </c>
      <c r="AG251" s="101">
        <v>9488</v>
      </c>
      <c r="AH251" s="101">
        <v>18232</v>
      </c>
      <c r="AI251" s="101">
        <v>393678.54</v>
      </c>
      <c r="AJ251" s="101">
        <v>604491.92000000004</v>
      </c>
      <c r="AK251" s="101">
        <v>149596.44</v>
      </c>
      <c r="AL251" s="101">
        <v>533862.41</v>
      </c>
      <c r="AM251" s="101">
        <v>289904.24</v>
      </c>
      <c r="AN251" s="101">
        <v>70629.509999999995</v>
      </c>
      <c r="AO251" s="101">
        <v>0</v>
      </c>
      <c r="AP251" s="101">
        <v>12292</v>
      </c>
      <c r="AQ251" s="101">
        <v>0</v>
      </c>
      <c r="AR251" s="101">
        <v>0</v>
      </c>
      <c r="AS251" s="101">
        <v>0</v>
      </c>
      <c r="AT251" s="101">
        <v>58337.51</v>
      </c>
      <c r="AU251" s="101">
        <v>23230.400000000001</v>
      </c>
    </row>
    <row r="252" spans="1:47">
      <c r="A252" s="102" t="s">
        <v>934</v>
      </c>
      <c r="B252" s="102" t="e">
        <v>#N/A</v>
      </c>
      <c r="C252" s="101">
        <v>8275</v>
      </c>
      <c r="D252" s="101">
        <v>12720</v>
      </c>
      <c r="E252" s="101">
        <v>572437.82999999996</v>
      </c>
      <c r="F252" s="101">
        <v>761763.83</v>
      </c>
      <c r="G252" s="101">
        <v>98976</v>
      </c>
      <c r="H252" s="101">
        <v>447163.61</v>
      </c>
      <c r="I252" s="101">
        <v>187160</v>
      </c>
      <c r="J252" s="101">
        <v>314600.21999999997</v>
      </c>
      <c r="K252" s="101">
        <v>53831.98</v>
      </c>
      <c r="L252" s="101">
        <v>0</v>
      </c>
      <c r="M252" s="101">
        <v>0</v>
      </c>
      <c r="N252" s="101">
        <v>0</v>
      </c>
      <c r="O252" s="101">
        <v>0</v>
      </c>
      <c r="P252" s="101">
        <v>260768.24</v>
      </c>
      <c r="Q252" s="101">
        <v>0</v>
      </c>
      <c r="R252" s="101">
        <v>14816</v>
      </c>
      <c r="S252" s="101">
        <v>21900</v>
      </c>
      <c r="T252" s="101">
        <v>1037372.84</v>
      </c>
      <c r="U252" s="101">
        <v>1382903.84</v>
      </c>
      <c r="V252" s="101">
        <v>175276</v>
      </c>
      <c r="W252" s="101">
        <v>773496.61</v>
      </c>
      <c r="X252" s="101">
        <v>316630</v>
      </c>
      <c r="Y252" s="101">
        <v>609407.23</v>
      </c>
      <c r="Z252" s="101">
        <v>95003.78</v>
      </c>
      <c r="AA252" s="101">
        <v>0</v>
      </c>
      <c r="AB252" s="101">
        <v>0</v>
      </c>
      <c r="AC252" s="101">
        <v>0</v>
      </c>
      <c r="AD252" s="101">
        <v>0</v>
      </c>
      <c r="AE252" s="101">
        <v>514403.45</v>
      </c>
      <c r="AF252" s="101">
        <v>0</v>
      </c>
      <c r="AG252" s="101">
        <v>7752</v>
      </c>
      <c r="AH252" s="101">
        <v>12720</v>
      </c>
      <c r="AI252" s="101">
        <v>574997.56999999995</v>
      </c>
      <c r="AJ252" s="101">
        <v>747099.27</v>
      </c>
      <c r="AK252" s="101">
        <v>94663</v>
      </c>
      <c r="AL252" s="101">
        <v>412409.76</v>
      </c>
      <c r="AM252" s="101">
        <v>191026.35</v>
      </c>
      <c r="AN252" s="101">
        <v>334689.51</v>
      </c>
      <c r="AO252" s="101">
        <v>0</v>
      </c>
      <c r="AP252" s="101">
        <v>561.61</v>
      </c>
      <c r="AQ252" s="101">
        <v>0</v>
      </c>
      <c r="AR252" s="101">
        <v>0</v>
      </c>
      <c r="AS252" s="101">
        <v>0</v>
      </c>
      <c r="AT252" s="101">
        <v>334127.90000000002</v>
      </c>
      <c r="AU252" s="101">
        <v>133271.85999999999</v>
      </c>
    </row>
    <row r="253" spans="1:47">
      <c r="A253" s="102" t="s">
        <v>935</v>
      </c>
      <c r="B253" s="102" t="e">
        <v>#N/A</v>
      </c>
      <c r="C253" s="101">
        <v>25705</v>
      </c>
      <c r="D253" s="101">
        <v>43672</v>
      </c>
      <c r="E253" s="101">
        <v>1486532.65</v>
      </c>
      <c r="F253" s="101">
        <v>1998509.86</v>
      </c>
      <c r="G253" s="101">
        <v>339402.93</v>
      </c>
      <c r="H253" s="101">
        <v>1471705.07</v>
      </c>
      <c r="I253" s="101">
        <v>699219.59</v>
      </c>
      <c r="J253" s="101">
        <v>526804.79</v>
      </c>
      <c r="K253" s="101">
        <v>53831.98</v>
      </c>
      <c r="L253" s="101">
        <v>32309.200000000001</v>
      </c>
      <c r="M253" s="101">
        <v>0</v>
      </c>
      <c r="N253" s="101">
        <v>0</v>
      </c>
      <c r="O253" s="101">
        <v>0</v>
      </c>
      <c r="P253" s="101">
        <v>440663.61</v>
      </c>
      <c r="Q253" s="101">
        <v>56356.55</v>
      </c>
      <c r="R253" s="101">
        <v>45480</v>
      </c>
      <c r="S253" s="101">
        <v>75190</v>
      </c>
      <c r="T253" s="101">
        <v>2647847.1800000002</v>
      </c>
      <c r="U253" s="101">
        <v>3559394.4600000009</v>
      </c>
      <c r="V253" s="101">
        <v>596105.71</v>
      </c>
      <c r="W253" s="101">
        <v>2538286.4800000009</v>
      </c>
      <c r="X253" s="101">
        <v>1191261.83</v>
      </c>
      <c r="Y253" s="101">
        <v>1021107.98</v>
      </c>
      <c r="Z253" s="101">
        <v>95003.78</v>
      </c>
      <c r="AA253" s="101">
        <v>57127.82</v>
      </c>
      <c r="AB253" s="101">
        <v>0</v>
      </c>
      <c r="AC253" s="101">
        <v>0</v>
      </c>
      <c r="AD253" s="101">
        <v>0</v>
      </c>
      <c r="AE253" s="101">
        <v>868976.38</v>
      </c>
      <c r="AF253" s="101">
        <v>124308.68</v>
      </c>
      <c r="AG253" s="101">
        <v>27136</v>
      </c>
      <c r="AH253" s="101">
        <v>43672</v>
      </c>
      <c r="AI253" s="101">
        <v>1506922.24</v>
      </c>
      <c r="AJ253" s="101">
        <v>2008173.96</v>
      </c>
      <c r="AK253" s="101">
        <v>339132.09</v>
      </c>
      <c r="AL253" s="101">
        <v>1454131.13</v>
      </c>
      <c r="AM253" s="101">
        <v>746420.72</v>
      </c>
      <c r="AN253" s="101">
        <v>554042.82999999996</v>
      </c>
      <c r="AO253" s="101">
        <v>0</v>
      </c>
      <c r="AP253" s="101">
        <v>23437.61</v>
      </c>
      <c r="AQ253" s="101">
        <v>0</v>
      </c>
      <c r="AR253" s="101">
        <v>0</v>
      </c>
      <c r="AS253" s="101">
        <v>0</v>
      </c>
      <c r="AT253" s="101">
        <v>530605.22</v>
      </c>
      <c r="AU253" s="101">
        <v>184035.06</v>
      </c>
    </row>
    <row r="254" spans="1:47">
      <c r="A254" s="102" t="s">
        <v>936</v>
      </c>
      <c r="B254" s="102" t="e">
        <v>#N/A</v>
      </c>
      <c r="C254" s="101">
        <v>187920.57</v>
      </c>
      <c r="D254" s="101">
        <v>262244</v>
      </c>
      <c r="E254" s="101">
        <v>15116959.119999999</v>
      </c>
      <c r="F254" s="101">
        <v>21220553.489999998</v>
      </c>
      <c r="G254" s="101">
        <v>4772183.6900000004</v>
      </c>
      <c r="H254" s="101">
        <v>14128693.23</v>
      </c>
      <c r="I254" s="101">
        <v>5717613.2699999996</v>
      </c>
      <c r="J254" s="101">
        <v>7091860.2599999998</v>
      </c>
      <c r="K254" s="101">
        <v>1852129.76</v>
      </c>
      <c r="L254" s="101">
        <v>424565.4</v>
      </c>
      <c r="M254" s="101">
        <v>0</v>
      </c>
      <c r="N254" s="101">
        <v>0</v>
      </c>
      <c r="O254" s="101">
        <v>0</v>
      </c>
      <c r="P254" s="101">
        <v>4815165.0999999996</v>
      </c>
      <c r="Q254" s="101">
        <v>1166716.73</v>
      </c>
      <c r="R254" s="101">
        <v>325949.89</v>
      </c>
      <c r="S254" s="101">
        <v>450017</v>
      </c>
      <c r="T254" s="101">
        <v>26124431.75</v>
      </c>
      <c r="U254" s="101">
        <v>36695089.690000005</v>
      </c>
      <c r="V254" s="101">
        <v>8280766.5099999998</v>
      </c>
      <c r="W254" s="101">
        <v>24211546.270000003</v>
      </c>
      <c r="X254" s="101">
        <v>9798129.5400000028</v>
      </c>
      <c r="Y254" s="101">
        <v>12483543.420000002</v>
      </c>
      <c r="Z254" s="101">
        <v>3195914.55</v>
      </c>
      <c r="AA254" s="101">
        <v>728488.02</v>
      </c>
      <c r="AB254" s="101">
        <v>0</v>
      </c>
      <c r="AC254" s="101">
        <v>0</v>
      </c>
      <c r="AD254" s="101">
        <v>0</v>
      </c>
      <c r="AE254" s="101">
        <v>8559140.8500000015</v>
      </c>
      <c r="AF254" s="101">
        <v>2057612.29</v>
      </c>
      <c r="AG254" s="101">
        <v>175283</v>
      </c>
      <c r="AH254" s="101">
        <v>262244</v>
      </c>
      <c r="AI254" s="101">
        <v>13549079.699999999</v>
      </c>
      <c r="AJ254" s="101">
        <v>19334891</v>
      </c>
      <c r="AK254" s="101">
        <v>4585109.8600000003</v>
      </c>
      <c r="AL254" s="101">
        <v>13428245.34</v>
      </c>
      <c r="AM254" s="101">
        <v>5545512.0900000008</v>
      </c>
      <c r="AN254" s="101">
        <v>5906645.6600000011</v>
      </c>
      <c r="AO254" s="101">
        <v>1763610.74</v>
      </c>
      <c r="AP254" s="101">
        <v>432217.15</v>
      </c>
      <c r="AQ254" s="101">
        <v>0</v>
      </c>
      <c r="AR254" s="101">
        <v>0</v>
      </c>
      <c r="AS254" s="101">
        <v>0</v>
      </c>
      <c r="AT254" s="101">
        <v>3710817.77</v>
      </c>
      <c r="AU254" s="101">
        <v>994275.76</v>
      </c>
    </row>
    <row r="255" spans="1:47">
      <c r="A255" s="102" t="s">
        <v>937</v>
      </c>
      <c r="B255" s="102" t="e">
        <v>#N/A</v>
      </c>
      <c r="C255" s="101">
        <v>7734</v>
      </c>
      <c r="D255" s="101">
        <v>9540</v>
      </c>
      <c r="E255" s="101">
        <v>570006.19999999995</v>
      </c>
      <c r="F255" s="101">
        <v>744138.7</v>
      </c>
      <c r="G255" s="101">
        <v>122915.5</v>
      </c>
      <c r="H255" s="101">
        <v>502515.94</v>
      </c>
      <c r="I255" s="101">
        <v>286040</v>
      </c>
      <c r="J255" s="101">
        <v>241622.76</v>
      </c>
      <c r="K255" s="101">
        <v>218375.41</v>
      </c>
      <c r="L255" s="101">
        <v>0</v>
      </c>
      <c r="M255" s="101">
        <v>0</v>
      </c>
      <c r="N255" s="101">
        <v>0</v>
      </c>
      <c r="O255" s="101">
        <v>0</v>
      </c>
      <c r="P255" s="101">
        <v>23247.35</v>
      </c>
      <c r="Q255" s="101">
        <v>0</v>
      </c>
      <c r="R255" s="101">
        <v>13362</v>
      </c>
      <c r="S255" s="101">
        <v>16425</v>
      </c>
      <c r="T255" s="101">
        <v>1074484.3999999999</v>
      </c>
      <c r="U255" s="101">
        <v>1369458.9</v>
      </c>
      <c r="V255" s="101">
        <v>207583.5</v>
      </c>
      <c r="W255" s="101">
        <v>867517.25</v>
      </c>
      <c r="X255" s="101">
        <v>493136</v>
      </c>
      <c r="Y255" s="101">
        <v>501941.65</v>
      </c>
      <c r="Z255" s="101">
        <v>376140.56</v>
      </c>
      <c r="AA255" s="101">
        <v>0</v>
      </c>
      <c r="AB255" s="101">
        <v>0</v>
      </c>
      <c r="AC255" s="101">
        <v>0</v>
      </c>
      <c r="AD255" s="101">
        <v>0</v>
      </c>
      <c r="AE255" s="101">
        <v>125801.09</v>
      </c>
      <c r="AF255" s="101">
        <v>0</v>
      </c>
      <c r="AG255" s="101">
        <v>7687</v>
      </c>
      <c r="AH255" s="101">
        <v>9540</v>
      </c>
      <c r="AI255" s="101">
        <v>544875.61</v>
      </c>
      <c r="AJ255" s="101">
        <v>716180.49</v>
      </c>
      <c r="AK255" s="101">
        <v>117825.5</v>
      </c>
      <c r="AL255" s="101">
        <v>498248.25</v>
      </c>
      <c r="AM255" s="101">
        <v>286039.07</v>
      </c>
      <c r="AN255" s="101">
        <v>217932.24</v>
      </c>
      <c r="AO255" s="101">
        <v>215220.57</v>
      </c>
      <c r="AP255" s="101">
        <v>0</v>
      </c>
      <c r="AQ255" s="101">
        <v>0</v>
      </c>
      <c r="AR255" s="101">
        <v>0</v>
      </c>
      <c r="AS255" s="101">
        <v>0</v>
      </c>
      <c r="AT255" s="101">
        <v>2711.67</v>
      </c>
      <c r="AU255" s="101">
        <v>33204.89</v>
      </c>
    </row>
    <row r="256" spans="1:47">
      <c r="A256" s="102" t="s">
        <v>938</v>
      </c>
      <c r="B256" s="102" t="e">
        <v>#N/A</v>
      </c>
      <c r="C256" s="101">
        <v>26713</v>
      </c>
      <c r="D256" s="101">
        <v>32012</v>
      </c>
      <c r="E256" s="101">
        <v>1972978.09</v>
      </c>
      <c r="F256" s="101">
        <v>2897966.57</v>
      </c>
      <c r="G256" s="101">
        <v>679051</v>
      </c>
      <c r="H256" s="101">
        <v>1721918.23</v>
      </c>
      <c r="I256" s="101">
        <v>768483.13</v>
      </c>
      <c r="J256" s="101">
        <v>1176048.3400000001</v>
      </c>
      <c r="K256" s="101">
        <v>0</v>
      </c>
      <c r="L256" s="101">
        <v>19337.43</v>
      </c>
      <c r="M256" s="101">
        <v>0</v>
      </c>
      <c r="N256" s="101">
        <v>0</v>
      </c>
      <c r="O256" s="101">
        <v>0</v>
      </c>
      <c r="P256" s="101">
        <v>1156710.9099999999</v>
      </c>
      <c r="Q256" s="101">
        <v>201260.53</v>
      </c>
      <c r="R256" s="101">
        <v>46330</v>
      </c>
      <c r="S256" s="101">
        <v>55115</v>
      </c>
      <c r="T256" s="101">
        <v>3422072.19</v>
      </c>
      <c r="U256" s="101">
        <v>5008216.51</v>
      </c>
      <c r="V256" s="101">
        <v>1183026</v>
      </c>
      <c r="W256" s="101">
        <v>2968440.66</v>
      </c>
      <c r="X256" s="101">
        <v>1318718.08</v>
      </c>
      <c r="Y256" s="101">
        <v>2039775.85</v>
      </c>
      <c r="Z256" s="101">
        <v>0</v>
      </c>
      <c r="AA256" s="101">
        <v>33149.879999999997</v>
      </c>
      <c r="AB256" s="101">
        <v>0</v>
      </c>
      <c r="AC256" s="101">
        <v>0</v>
      </c>
      <c r="AD256" s="101">
        <v>0</v>
      </c>
      <c r="AE256" s="101">
        <v>2006625.97</v>
      </c>
      <c r="AF256" s="101">
        <v>350236.68</v>
      </c>
      <c r="AG256" s="101">
        <v>24503</v>
      </c>
      <c r="AH256" s="101">
        <v>32012</v>
      </c>
      <c r="AI256" s="101">
        <v>1701415.29</v>
      </c>
      <c r="AJ256" s="101">
        <v>2522389.0099999998</v>
      </c>
      <c r="AK256" s="101">
        <v>594654.59</v>
      </c>
      <c r="AL256" s="101">
        <v>1616296.68</v>
      </c>
      <c r="AM256" s="101">
        <v>731660.26</v>
      </c>
      <c r="AN256" s="101">
        <v>906092.33</v>
      </c>
      <c r="AO256" s="101">
        <v>0</v>
      </c>
      <c r="AP256" s="101">
        <v>19468.61</v>
      </c>
      <c r="AQ256" s="101">
        <v>0</v>
      </c>
      <c r="AR256" s="101">
        <v>0</v>
      </c>
      <c r="AS256" s="101">
        <v>0</v>
      </c>
      <c r="AT256" s="101">
        <v>886623.72</v>
      </c>
      <c r="AU256" s="101">
        <v>125685.34</v>
      </c>
    </row>
    <row r="257" spans="1:47">
      <c r="A257" s="102" t="s">
        <v>939</v>
      </c>
      <c r="B257" s="102" t="e">
        <v>#N/A</v>
      </c>
      <c r="C257" s="101">
        <v>14560</v>
      </c>
      <c r="D257" s="101">
        <v>17384</v>
      </c>
      <c r="E257" s="101">
        <v>858000</v>
      </c>
      <c r="F257" s="101">
        <v>1540050</v>
      </c>
      <c r="G257" s="101">
        <v>543600</v>
      </c>
      <c r="H257" s="101">
        <v>1153062.55</v>
      </c>
      <c r="I257" s="101">
        <v>490686</v>
      </c>
      <c r="J257" s="101">
        <v>386987.45</v>
      </c>
      <c r="K257" s="101">
        <v>345648</v>
      </c>
      <c r="L257" s="101">
        <v>5299</v>
      </c>
      <c r="M257" s="101">
        <v>0</v>
      </c>
      <c r="N257" s="101">
        <v>0</v>
      </c>
      <c r="O257" s="101">
        <v>0</v>
      </c>
      <c r="P257" s="101">
        <v>36040.449999999997</v>
      </c>
      <c r="Q257" s="101">
        <v>43600</v>
      </c>
      <c r="R257" s="101">
        <v>24881</v>
      </c>
      <c r="S257" s="101">
        <v>29930</v>
      </c>
      <c r="T257" s="101">
        <v>1455900</v>
      </c>
      <c r="U257" s="101">
        <v>2640870</v>
      </c>
      <c r="V257" s="101">
        <v>950000</v>
      </c>
      <c r="W257" s="101">
        <v>1990352.95</v>
      </c>
      <c r="X257" s="101">
        <v>839350</v>
      </c>
      <c r="Y257" s="101">
        <v>650517.05000000005</v>
      </c>
      <c r="Z257" s="101">
        <v>574818</v>
      </c>
      <c r="AA257" s="101">
        <v>9084</v>
      </c>
      <c r="AB257" s="101">
        <v>0</v>
      </c>
      <c r="AC257" s="101">
        <v>0</v>
      </c>
      <c r="AD257" s="101">
        <v>0</v>
      </c>
      <c r="AE257" s="101">
        <v>66615.05</v>
      </c>
      <c r="AF257" s="101">
        <v>75200</v>
      </c>
      <c r="AG257" s="101">
        <v>14105</v>
      </c>
      <c r="AH257" s="101">
        <v>17384</v>
      </c>
      <c r="AI257" s="101">
        <v>817081.83</v>
      </c>
      <c r="AJ257" s="101">
        <v>1508059.97</v>
      </c>
      <c r="AK257" s="101">
        <v>574073.98</v>
      </c>
      <c r="AL257" s="101">
        <v>1111221.46</v>
      </c>
      <c r="AM257" s="101">
        <v>454687.98</v>
      </c>
      <c r="AN257" s="101">
        <v>396838.51</v>
      </c>
      <c r="AO257" s="101">
        <v>320833.31</v>
      </c>
      <c r="AP257" s="101">
        <v>0</v>
      </c>
      <c r="AQ257" s="101">
        <v>0</v>
      </c>
      <c r="AR257" s="101">
        <v>0</v>
      </c>
      <c r="AS257" s="101">
        <v>0</v>
      </c>
      <c r="AT257" s="101">
        <v>76005.2</v>
      </c>
      <c r="AU257" s="101">
        <v>80530.8</v>
      </c>
    </row>
    <row r="258" spans="1:47">
      <c r="A258" s="102" t="s">
        <v>940</v>
      </c>
      <c r="B258" s="102" t="e">
        <v>#N/A</v>
      </c>
      <c r="C258" s="101">
        <v>49007</v>
      </c>
      <c r="D258" s="101">
        <v>58936</v>
      </c>
      <c r="E258" s="101">
        <v>3400984.29</v>
      </c>
      <c r="F258" s="101">
        <v>5182155.2700000014</v>
      </c>
      <c r="G258" s="101">
        <v>1345566.5</v>
      </c>
      <c r="H258" s="101">
        <v>3377496.72</v>
      </c>
      <c r="I258" s="101">
        <v>1545209.13</v>
      </c>
      <c r="J258" s="101">
        <v>1804658.550000001</v>
      </c>
      <c r="K258" s="101">
        <v>564023.41</v>
      </c>
      <c r="L258" s="101">
        <v>24636.43</v>
      </c>
      <c r="M258" s="101">
        <v>0</v>
      </c>
      <c r="N258" s="101">
        <v>0</v>
      </c>
      <c r="O258" s="101">
        <v>0</v>
      </c>
      <c r="P258" s="101">
        <v>1215998.7100000009</v>
      </c>
      <c r="Q258" s="101">
        <v>244860.53</v>
      </c>
      <c r="R258" s="101">
        <v>84573</v>
      </c>
      <c r="S258" s="101">
        <v>101470</v>
      </c>
      <c r="T258" s="101">
        <v>5952456.5899999999</v>
      </c>
      <c r="U258" s="101">
        <v>9018545.4100000001</v>
      </c>
      <c r="V258" s="101">
        <v>2340609.5</v>
      </c>
      <c r="W258" s="101">
        <v>5826310.8600000003</v>
      </c>
      <c r="X258" s="101">
        <v>2651204.08</v>
      </c>
      <c r="Y258" s="101">
        <v>3192234.55</v>
      </c>
      <c r="Z258" s="101">
        <v>950958.56</v>
      </c>
      <c r="AA258" s="101">
        <v>42233.88</v>
      </c>
      <c r="AB258" s="101">
        <v>0</v>
      </c>
      <c r="AC258" s="101">
        <v>0</v>
      </c>
      <c r="AD258" s="101">
        <v>0</v>
      </c>
      <c r="AE258" s="101">
        <v>2199042.11</v>
      </c>
      <c r="AF258" s="101">
        <v>425436.68</v>
      </c>
      <c r="AG258" s="101">
        <v>46295</v>
      </c>
      <c r="AH258" s="101">
        <v>58936</v>
      </c>
      <c r="AI258" s="101">
        <v>3063372.73</v>
      </c>
      <c r="AJ258" s="101">
        <v>4746629.4700000007</v>
      </c>
      <c r="AK258" s="101">
        <v>1286554.07</v>
      </c>
      <c r="AL258" s="101">
        <v>3225766.39</v>
      </c>
      <c r="AM258" s="101">
        <v>1472387.31</v>
      </c>
      <c r="AN258" s="101">
        <v>1520863.08</v>
      </c>
      <c r="AO258" s="101">
        <v>536053.88</v>
      </c>
      <c r="AP258" s="101">
        <v>19468.61</v>
      </c>
      <c r="AQ258" s="101">
        <v>0</v>
      </c>
      <c r="AR258" s="101">
        <v>0</v>
      </c>
      <c r="AS258" s="101">
        <v>0</v>
      </c>
      <c r="AT258" s="101">
        <v>965340.59</v>
      </c>
      <c r="AU258" s="101">
        <v>239421.03</v>
      </c>
    </row>
    <row r="259" spans="1:47">
      <c r="A259" s="102" t="s">
        <v>941</v>
      </c>
      <c r="B259" s="102" t="e">
        <v>#N/A</v>
      </c>
      <c r="C259" s="101">
        <v>16104</v>
      </c>
      <c r="D259" s="101">
        <v>27136</v>
      </c>
      <c r="E259" s="101">
        <v>837061.39</v>
      </c>
      <c r="F259" s="101">
        <v>1193227.3899999999</v>
      </c>
      <c r="G259" s="101">
        <v>277363</v>
      </c>
      <c r="H259" s="101">
        <v>857134.03</v>
      </c>
      <c r="I259" s="101">
        <v>245911</v>
      </c>
      <c r="J259" s="101">
        <v>336093.36</v>
      </c>
      <c r="K259" s="101">
        <v>0</v>
      </c>
      <c r="L259" s="101">
        <v>0</v>
      </c>
      <c r="M259" s="101">
        <v>0</v>
      </c>
      <c r="N259" s="101">
        <v>0</v>
      </c>
      <c r="O259" s="101">
        <v>0</v>
      </c>
      <c r="P259" s="101">
        <v>336093.36</v>
      </c>
      <c r="Q259" s="101">
        <v>71550.2</v>
      </c>
      <c r="R259" s="101">
        <v>28264</v>
      </c>
      <c r="S259" s="101">
        <v>46720</v>
      </c>
      <c r="T259" s="101">
        <v>1491001.07</v>
      </c>
      <c r="U259" s="101">
        <v>2111756.0699999998</v>
      </c>
      <c r="V259" s="101">
        <v>494486</v>
      </c>
      <c r="W259" s="101">
        <v>1471999.78</v>
      </c>
      <c r="X259" s="101">
        <v>424521</v>
      </c>
      <c r="Y259" s="101">
        <v>639756.29</v>
      </c>
      <c r="Z259" s="101">
        <v>0</v>
      </c>
      <c r="AA259" s="101">
        <v>0</v>
      </c>
      <c r="AB259" s="101">
        <v>0</v>
      </c>
      <c r="AC259" s="101">
        <v>0</v>
      </c>
      <c r="AD259" s="101">
        <v>0</v>
      </c>
      <c r="AE259" s="101">
        <v>639756.29</v>
      </c>
      <c r="AF259" s="101">
        <v>130967.09</v>
      </c>
      <c r="AG259" s="101">
        <v>15789</v>
      </c>
      <c r="AH259" s="101">
        <v>27136</v>
      </c>
      <c r="AI259" s="101">
        <v>807385.61</v>
      </c>
      <c r="AJ259" s="101">
        <v>1079460.18</v>
      </c>
      <c r="AK259" s="101">
        <v>200558.15</v>
      </c>
      <c r="AL259" s="101">
        <v>815742.95</v>
      </c>
      <c r="AM259" s="101">
        <v>164784.68</v>
      </c>
      <c r="AN259" s="101">
        <v>263717.23</v>
      </c>
      <c r="AO259" s="101">
        <v>0</v>
      </c>
      <c r="AP259" s="101">
        <v>0</v>
      </c>
      <c r="AQ259" s="101">
        <v>0</v>
      </c>
      <c r="AR259" s="101">
        <v>0</v>
      </c>
      <c r="AS259" s="101">
        <v>0</v>
      </c>
      <c r="AT259" s="101">
        <v>263717.23</v>
      </c>
      <c r="AU259" s="101">
        <v>46359.71</v>
      </c>
    </row>
    <row r="260" spans="1:47">
      <c r="A260" s="102" t="s">
        <v>942</v>
      </c>
      <c r="B260" s="102" t="e">
        <v>#N/A</v>
      </c>
      <c r="C260" s="101">
        <v>12106</v>
      </c>
      <c r="D260" s="101">
        <v>19504</v>
      </c>
      <c r="E260" s="101">
        <v>1109820.8999999999</v>
      </c>
      <c r="F260" s="101">
        <v>2069409.9</v>
      </c>
      <c r="G260" s="101">
        <v>838207</v>
      </c>
      <c r="H260" s="101">
        <v>1799603.43</v>
      </c>
      <c r="I260" s="101">
        <v>851694</v>
      </c>
      <c r="J260" s="101">
        <v>269806.46999999997</v>
      </c>
      <c r="K260" s="101">
        <v>431542.09</v>
      </c>
      <c r="L260" s="101">
        <v>0</v>
      </c>
      <c r="M260" s="101">
        <v>0</v>
      </c>
      <c r="N260" s="101">
        <v>0</v>
      </c>
      <c r="O260" s="101">
        <v>0</v>
      </c>
      <c r="P260" s="101">
        <v>-161735.62</v>
      </c>
      <c r="Q260" s="101">
        <v>87481.52</v>
      </c>
      <c r="R260" s="101">
        <v>21041</v>
      </c>
      <c r="S260" s="101">
        <v>33580</v>
      </c>
      <c r="T260" s="101">
        <v>1981999.9</v>
      </c>
      <c r="U260" s="101">
        <v>3900688.9</v>
      </c>
      <c r="V260" s="101">
        <v>1704632</v>
      </c>
      <c r="W260" s="101">
        <v>3219081.16</v>
      </c>
      <c r="X260" s="101">
        <v>1463897</v>
      </c>
      <c r="Y260" s="101">
        <v>681607.74</v>
      </c>
      <c r="Z260" s="101">
        <v>739786.44</v>
      </c>
      <c r="AA260" s="101">
        <v>0</v>
      </c>
      <c r="AB260" s="101">
        <v>0</v>
      </c>
      <c r="AC260" s="101">
        <v>0</v>
      </c>
      <c r="AD260" s="101">
        <v>0</v>
      </c>
      <c r="AE260" s="101">
        <v>-58178.7</v>
      </c>
      <c r="AF260" s="101">
        <v>180102.91</v>
      </c>
      <c r="AG260" s="101">
        <v>11204</v>
      </c>
      <c r="AH260" s="101">
        <v>19504</v>
      </c>
      <c r="AI260" s="101">
        <v>1019551.35</v>
      </c>
      <c r="AJ260" s="101">
        <v>2080597.97</v>
      </c>
      <c r="AK260" s="101">
        <v>939500.07</v>
      </c>
      <c r="AL260" s="101">
        <v>1853322.45</v>
      </c>
      <c r="AM260" s="101">
        <v>809458.92</v>
      </c>
      <c r="AN260" s="101">
        <v>227275.51999999999</v>
      </c>
      <c r="AO260" s="101">
        <v>431542.09</v>
      </c>
      <c r="AP260" s="101">
        <v>0</v>
      </c>
      <c r="AQ260" s="101">
        <v>0</v>
      </c>
      <c r="AR260" s="101">
        <v>0</v>
      </c>
      <c r="AS260" s="101">
        <v>0</v>
      </c>
      <c r="AT260" s="101">
        <v>-204266.57</v>
      </c>
      <c r="AU260" s="101">
        <v>75282.31</v>
      </c>
    </row>
    <row r="261" spans="1:47">
      <c r="A261" s="102" t="s">
        <v>943</v>
      </c>
      <c r="B261" s="102" t="e">
        <v>#N/A</v>
      </c>
      <c r="C261" s="101">
        <v>13831</v>
      </c>
      <c r="D261" s="101">
        <v>22048</v>
      </c>
      <c r="E261" s="101">
        <v>739776.07</v>
      </c>
      <c r="F261" s="101">
        <v>1864495.61</v>
      </c>
      <c r="G261" s="101">
        <v>741532</v>
      </c>
      <c r="H261" s="101">
        <v>1818061.72</v>
      </c>
      <c r="I261" s="101">
        <v>829941.01</v>
      </c>
      <c r="J261" s="101">
        <v>46433.89</v>
      </c>
      <c r="K261" s="101">
        <v>670831</v>
      </c>
      <c r="L261" s="101">
        <v>0</v>
      </c>
      <c r="M261" s="101">
        <v>0</v>
      </c>
      <c r="N261" s="101">
        <v>0</v>
      </c>
      <c r="O261" s="101">
        <v>0</v>
      </c>
      <c r="P261" s="101">
        <v>-624397.11</v>
      </c>
      <c r="Q261" s="101">
        <v>68640.09</v>
      </c>
      <c r="R261" s="101">
        <v>26175</v>
      </c>
      <c r="S261" s="101">
        <v>37960</v>
      </c>
      <c r="T261" s="101">
        <v>1521952.06</v>
      </c>
      <c r="U261" s="101">
        <v>3697008.7</v>
      </c>
      <c r="V261" s="101">
        <v>1469032</v>
      </c>
      <c r="W261" s="101">
        <v>3243863.45</v>
      </c>
      <c r="X261" s="101">
        <v>1496730.34</v>
      </c>
      <c r="Y261" s="101">
        <v>453145.25</v>
      </c>
      <c r="Z261" s="101">
        <v>1149996</v>
      </c>
      <c r="AA261" s="101">
        <v>0</v>
      </c>
      <c r="AB261" s="101">
        <v>0</v>
      </c>
      <c r="AC261" s="101">
        <v>0</v>
      </c>
      <c r="AD261" s="101">
        <v>0</v>
      </c>
      <c r="AE261" s="101">
        <v>-696850.75</v>
      </c>
      <c r="AF261" s="101">
        <v>165164.79999999999</v>
      </c>
      <c r="AG261" s="101">
        <v>13126</v>
      </c>
      <c r="AH261" s="101">
        <v>22048</v>
      </c>
      <c r="AI261" s="101">
        <v>709201.29</v>
      </c>
      <c r="AJ261" s="101">
        <v>1773191.41</v>
      </c>
      <c r="AK261" s="101">
        <v>723843.89</v>
      </c>
      <c r="AL261" s="101">
        <v>1898053.79</v>
      </c>
      <c r="AM261" s="101">
        <v>795178.53</v>
      </c>
      <c r="AN261" s="101">
        <v>-124862.38</v>
      </c>
      <c r="AO261" s="101">
        <v>670833.31000000006</v>
      </c>
      <c r="AP261" s="101">
        <v>0</v>
      </c>
      <c r="AQ261" s="101">
        <v>0</v>
      </c>
      <c r="AR261" s="101">
        <v>0</v>
      </c>
      <c r="AS261" s="101">
        <v>0</v>
      </c>
      <c r="AT261" s="101">
        <v>-795695.69</v>
      </c>
      <c r="AU261" s="101">
        <v>44240.37</v>
      </c>
    </row>
    <row r="262" spans="1:47">
      <c r="A262" s="102" t="s">
        <v>944</v>
      </c>
      <c r="B262" s="102" t="e">
        <v>#N/A</v>
      </c>
      <c r="C262" s="101">
        <v>17322</v>
      </c>
      <c r="D262" s="101">
        <v>31800</v>
      </c>
      <c r="E262" s="101">
        <v>797942.2</v>
      </c>
      <c r="F262" s="101">
        <v>1227023.45</v>
      </c>
      <c r="G262" s="101">
        <v>392380.82</v>
      </c>
      <c r="H262" s="101">
        <v>962099.81</v>
      </c>
      <c r="I262" s="101">
        <v>468636</v>
      </c>
      <c r="J262" s="101">
        <v>264923.64</v>
      </c>
      <c r="K262" s="101">
        <v>320831</v>
      </c>
      <c r="L262" s="101">
        <v>19894</v>
      </c>
      <c r="M262" s="101">
        <v>0</v>
      </c>
      <c r="N262" s="101">
        <v>0</v>
      </c>
      <c r="O262" s="101">
        <v>0</v>
      </c>
      <c r="P262" s="101">
        <v>-75801.36</v>
      </c>
      <c r="Q262" s="101">
        <v>63656.17</v>
      </c>
      <c r="R262" s="101">
        <v>31829</v>
      </c>
      <c r="S262" s="101">
        <v>54750</v>
      </c>
      <c r="T262" s="101">
        <v>1473032.3</v>
      </c>
      <c r="U262" s="101">
        <v>2241354.3199999998</v>
      </c>
      <c r="V262" s="101">
        <v>698384.08</v>
      </c>
      <c r="W262" s="101">
        <v>1703731.04</v>
      </c>
      <c r="X262" s="101">
        <v>827086.36</v>
      </c>
      <c r="Y262" s="101">
        <v>537623.28</v>
      </c>
      <c r="Z262" s="101">
        <v>549996</v>
      </c>
      <c r="AA262" s="101">
        <v>34104</v>
      </c>
      <c r="AB262" s="101">
        <v>0</v>
      </c>
      <c r="AC262" s="101">
        <v>0</v>
      </c>
      <c r="AD262" s="101">
        <v>0</v>
      </c>
      <c r="AE262" s="101">
        <v>-46476.72</v>
      </c>
      <c r="AF262" s="101">
        <v>120880.73</v>
      </c>
      <c r="AG262" s="101">
        <v>17079</v>
      </c>
      <c r="AH262" s="101">
        <v>31800</v>
      </c>
      <c r="AI262" s="101">
        <v>766109.46</v>
      </c>
      <c r="AJ262" s="101">
        <v>1186432.3700000001</v>
      </c>
      <c r="AK262" s="101">
        <v>387007.19</v>
      </c>
      <c r="AL262" s="101">
        <v>1032910.03</v>
      </c>
      <c r="AM262" s="101">
        <v>432961.37</v>
      </c>
      <c r="AN262" s="101">
        <v>153522.34</v>
      </c>
      <c r="AO262" s="101">
        <v>204166.62</v>
      </c>
      <c r="AP262" s="101">
        <v>19232.59</v>
      </c>
      <c r="AQ262" s="101">
        <v>0</v>
      </c>
      <c r="AR262" s="101">
        <v>0</v>
      </c>
      <c r="AS262" s="101">
        <v>0</v>
      </c>
      <c r="AT262" s="101">
        <v>-69876.87</v>
      </c>
      <c r="AU262" s="101">
        <v>45525.68</v>
      </c>
    </row>
    <row r="263" spans="1:47">
      <c r="A263" s="102" t="s">
        <v>945</v>
      </c>
      <c r="B263" s="102" t="e">
        <v>#N/A</v>
      </c>
      <c r="C263" s="101">
        <v>12711</v>
      </c>
      <c r="D263" s="101">
        <v>26076</v>
      </c>
      <c r="E263" s="101">
        <v>545745.1</v>
      </c>
      <c r="F263" s="101">
        <v>751060.1</v>
      </c>
      <c r="G263" s="101">
        <v>164210</v>
      </c>
      <c r="H263" s="101">
        <v>632794.04</v>
      </c>
      <c r="I263" s="101">
        <v>285130.07</v>
      </c>
      <c r="J263" s="101">
        <v>118266.06</v>
      </c>
      <c r="K263" s="101">
        <v>0</v>
      </c>
      <c r="L263" s="101">
        <v>15159.69</v>
      </c>
      <c r="M263" s="101">
        <v>0</v>
      </c>
      <c r="N263" s="101">
        <v>0</v>
      </c>
      <c r="O263" s="101">
        <v>0</v>
      </c>
      <c r="P263" s="101">
        <v>103106.37</v>
      </c>
      <c r="Q263" s="101">
        <v>22667</v>
      </c>
      <c r="R263" s="101">
        <v>22992</v>
      </c>
      <c r="S263" s="101">
        <v>44895</v>
      </c>
      <c r="T263" s="101">
        <v>1023578.1</v>
      </c>
      <c r="U263" s="101">
        <v>1396081.1</v>
      </c>
      <c r="V263" s="101">
        <v>297933</v>
      </c>
      <c r="W263" s="101">
        <v>1107677.99</v>
      </c>
      <c r="X263" s="101">
        <v>489773.32</v>
      </c>
      <c r="Y263" s="101">
        <v>288403.11</v>
      </c>
      <c r="Z263" s="101">
        <v>0</v>
      </c>
      <c r="AA263" s="101">
        <v>25988.04</v>
      </c>
      <c r="AB263" s="101">
        <v>0</v>
      </c>
      <c r="AC263" s="101">
        <v>0</v>
      </c>
      <c r="AD263" s="101">
        <v>0</v>
      </c>
      <c r="AE263" s="101">
        <v>262415.07</v>
      </c>
      <c r="AF263" s="101">
        <v>45315</v>
      </c>
      <c r="AG263" s="101">
        <v>13056</v>
      </c>
      <c r="AH263" s="101">
        <v>26076</v>
      </c>
      <c r="AI263" s="101">
        <v>527354.97</v>
      </c>
      <c r="AJ263" s="101">
        <v>733606.41</v>
      </c>
      <c r="AK263" s="101">
        <v>162803.87</v>
      </c>
      <c r="AL263" s="101">
        <v>645001.39</v>
      </c>
      <c r="AM263" s="101">
        <v>265371.55</v>
      </c>
      <c r="AN263" s="101">
        <v>88605.02</v>
      </c>
      <c r="AO263" s="101">
        <v>0</v>
      </c>
      <c r="AP263" s="101">
        <v>15246</v>
      </c>
      <c r="AQ263" s="101">
        <v>0</v>
      </c>
      <c r="AR263" s="101">
        <v>0</v>
      </c>
      <c r="AS263" s="101">
        <v>0</v>
      </c>
      <c r="AT263" s="101">
        <v>73359.02</v>
      </c>
      <c r="AU263" s="101">
        <v>27422.68</v>
      </c>
    </row>
    <row r="264" spans="1:47">
      <c r="A264" s="102" t="s">
        <v>946</v>
      </c>
      <c r="B264" s="102" t="e">
        <v>#N/A</v>
      </c>
      <c r="C264" s="101">
        <v>72074</v>
      </c>
      <c r="D264" s="101">
        <v>126564</v>
      </c>
      <c r="E264" s="101">
        <v>4030345.66</v>
      </c>
      <c r="F264" s="101">
        <v>7105216.4500000011</v>
      </c>
      <c r="G264" s="101">
        <v>2413692.8200000012</v>
      </c>
      <c r="H264" s="101">
        <v>6069693.0300000012</v>
      </c>
      <c r="I264" s="101">
        <v>2681312.08</v>
      </c>
      <c r="J264" s="101">
        <v>1035523.42</v>
      </c>
      <c r="K264" s="101">
        <v>1423204.09</v>
      </c>
      <c r="L264" s="101">
        <v>35053.69</v>
      </c>
      <c r="M264" s="101">
        <v>0</v>
      </c>
      <c r="N264" s="101">
        <v>0</v>
      </c>
      <c r="O264" s="101">
        <v>0</v>
      </c>
      <c r="P264" s="101">
        <v>-422734.36</v>
      </c>
      <c r="Q264" s="101">
        <v>313994.98</v>
      </c>
      <c r="R264" s="101">
        <v>130301</v>
      </c>
      <c r="S264" s="101">
        <v>217905</v>
      </c>
      <c r="T264" s="101">
        <v>7491563.4299999997</v>
      </c>
      <c r="U264" s="101">
        <v>13346889.09</v>
      </c>
      <c r="V264" s="101">
        <v>4664467.080000001</v>
      </c>
      <c r="W264" s="101">
        <v>10746353.42</v>
      </c>
      <c r="X264" s="101">
        <v>4702008.0199999996</v>
      </c>
      <c r="Y264" s="101">
        <v>2600535.6700000009</v>
      </c>
      <c r="Z264" s="101">
        <v>2439778.44</v>
      </c>
      <c r="AA264" s="101">
        <v>60092.04</v>
      </c>
      <c r="AB264" s="101">
        <v>0</v>
      </c>
      <c r="AC264" s="101">
        <v>0</v>
      </c>
      <c r="AD264" s="101">
        <v>0</v>
      </c>
      <c r="AE264" s="101">
        <v>100665.19000000101</v>
      </c>
      <c r="AF264" s="101">
        <v>642430.53</v>
      </c>
      <c r="AG264" s="101">
        <v>70254</v>
      </c>
      <c r="AH264" s="101">
        <v>126564</v>
      </c>
      <c r="AI264" s="101">
        <v>3829602.68</v>
      </c>
      <c r="AJ264" s="101">
        <v>6853288.3400000008</v>
      </c>
      <c r="AK264" s="101">
        <v>2413713.17</v>
      </c>
      <c r="AL264" s="101">
        <v>6245030.6100000013</v>
      </c>
      <c r="AM264" s="101">
        <v>2467755.0499999998</v>
      </c>
      <c r="AN264" s="101">
        <v>608257.73</v>
      </c>
      <c r="AO264" s="101">
        <v>1306542.02</v>
      </c>
      <c r="AP264" s="101">
        <v>34478.589999999997</v>
      </c>
      <c r="AQ264" s="101">
        <v>0</v>
      </c>
      <c r="AR264" s="101">
        <v>0</v>
      </c>
      <c r="AS264" s="101">
        <v>0</v>
      </c>
      <c r="AT264" s="101">
        <v>-732762.88</v>
      </c>
      <c r="AU264" s="101">
        <v>238830.75</v>
      </c>
    </row>
    <row r="265" spans="1:47">
      <c r="A265" s="102" t="s">
        <v>947</v>
      </c>
      <c r="B265" s="102" t="e">
        <v>#N/A</v>
      </c>
      <c r="C265" s="101">
        <v>121081</v>
      </c>
      <c r="D265" s="101">
        <v>185500</v>
      </c>
      <c r="E265" s="101">
        <v>7431329.9500000011</v>
      </c>
      <c r="F265" s="101">
        <v>12287371.720000001</v>
      </c>
      <c r="G265" s="101">
        <v>3759259.3200000012</v>
      </c>
      <c r="H265" s="101">
        <v>9447189.75</v>
      </c>
      <c r="I265" s="101">
        <v>4226521.21</v>
      </c>
      <c r="J265" s="101">
        <v>2840181.9699999979</v>
      </c>
      <c r="K265" s="101">
        <v>1987227.5</v>
      </c>
      <c r="L265" s="101">
        <v>59690.12</v>
      </c>
      <c r="M265" s="101">
        <v>0</v>
      </c>
      <c r="N265" s="101">
        <v>0</v>
      </c>
      <c r="O265" s="101">
        <v>0</v>
      </c>
      <c r="P265" s="101">
        <v>793264.349999998</v>
      </c>
      <c r="Q265" s="101">
        <v>558855.51</v>
      </c>
      <c r="R265" s="101">
        <v>214874</v>
      </c>
      <c r="S265" s="101">
        <v>319375</v>
      </c>
      <c r="T265" s="101">
        <v>13444020.02</v>
      </c>
      <c r="U265" s="101">
        <v>22365434.500000004</v>
      </c>
      <c r="V265" s="101">
        <v>7005076.580000001</v>
      </c>
      <c r="W265" s="101">
        <v>16572664.279999999</v>
      </c>
      <c r="X265" s="101">
        <v>7353212.0999999996</v>
      </c>
      <c r="Y265" s="101">
        <v>5792770.2200000007</v>
      </c>
      <c r="Z265" s="101">
        <v>3390737</v>
      </c>
      <c r="AA265" s="101">
        <v>102325.92</v>
      </c>
      <c r="AB265" s="101">
        <v>0</v>
      </c>
      <c r="AC265" s="101">
        <v>0</v>
      </c>
      <c r="AD265" s="101">
        <v>0</v>
      </c>
      <c r="AE265" s="101">
        <v>2299707.2999999989</v>
      </c>
      <c r="AF265" s="101">
        <v>1067867.21</v>
      </c>
      <c r="AG265" s="101">
        <v>116549</v>
      </c>
      <c r="AH265" s="101">
        <v>185500</v>
      </c>
      <c r="AI265" s="101">
        <v>6892975.4100000011</v>
      </c>
      <c r="AJ265" s="101">
        <v>11599917.810000002</v>
      </c>
      <c r="AK265" s="101">
        <v>3700267.24</v>
      </c>
      <c r="AL265" s="101">
        <v>9470796.9999999981</v>
      </c>
      <c r="AM265" s="101">
        <v>3940142.3600000008</v>
      </c>
      <c r="AN265" s="101">
        <v>2129120.8100000019</v>
      </c>
      <c r="AO265" s="101">
        <v>1842595.9</v>
      </c>
      <c r="AP265" s="101">
        <v>53947.199999999997</v>
      </c>
      <c r="AQ265" s="101">
        <v>0</v>
      </c>
      <c r="AR265" s="101">
        <v>0</v>
      </c>
      <c r="AS265" s="101">
        <v>0</v>
      </c>
      <c r="AT265" s="101">
        <v>232577.71000000101</v>
      </c>
      <c r="AU265" s="101">
        <v>478251.78</v>
      </c>
    </row>
    <row r="266" spans="1:47">
      <c r="A266" s="102" t="s">
        <v>948</v>
      </c>
      <c r="B266" s="102" t="e">
        <v>#N/A</v>
      </c>
      <c r="C266" s="101">
        <v>22233</v>
      </c>
      <c r="D266" s="101">
        <v>32224</v>
      </c>
      <c r="E266" s="101">
        <v>1442807.09</v>
      </c>
      <c r="F266" s="101">
        <v>2092258.09</v>
      </c>
      <c r="G266" s="101">
        <v>557825</v>
      </c>
      <c r="H266" s="101">
        <v>1236243.8500000001</v>
      </c>
      <c r="I266" s="101">
        <v>513827</v>
      </c>
      <c r="J266" s="101">
        <v>856014.24</v>
      </c>
      <c r="K266" s="101">
        <v>0</v>
      </c>
      <c r="L266" s="101">
        <v>22820</v>
      </c>
      <c r="M266" s="101">
        <v>0</v>
      </c>
      <c r="N266" s="101">
        <v>0</v>
      </c>
      <c r="O266" s="101">
        <v>0</v>
      </c>
      <c r="P266" s="101">
        <v>833194.24</v>
      </c>
      <c r="Q266" s="101">
        <v>151441</v>
      </c>
      <c r="R266" s="101">
        <v>38086</v>
      </c>
      <c r="S266" s="101">
        <v>55480</v>
      </c>
      <c r="T266" s="101">
        <v>2410030.0299999998</v>
      </c>
      <c r="U266" s="101">
        <v>3459051.03</v>
      </c>
      <c r="V266" s="101">
        <v>893879</v>
      </c>
      <c r="W266" s="101">
        <v>2063290.19</v>
      </c>
      <c r="X266" s="101">
        <v>880912</v>
      </c>
      <c r="Y266" s="101">
        <v>1395760.84</v>
      </c>
      <c r="Z266" s="101">
        <v>0</v>
      </c>
      <c r="AA266" s="101">
        <v>39120</v>
      </c>
      <c r="AB266" s="101">
        <v>0</v>
      </c>
      <c r="AC266" s="101">
        <v>0</v>
      </c>
      <c r="AD266" s="101">
        <v>0</v>
      </c>
      <c r="AE266" s="101">
        <v>1356640.84</v>
      </c>
      <c r="AF266" s="101">
        <v>249095</v>
      </c>
      <c r="AG266" s="101">
        <v>21461</v>
      </c>
      <c r="AH266" s="101">
        <v>32224</v>
      </c>
      <c r="AI266" s="101">
        <v>1487925.1</v>
      </c>
      <c r="AJ266" s="101">
        <v>2113936.04</v>
      </c>
      <c r="AK266" s="101">
        <v>542962.17000000004</v>
      </c>
      <c r="AL266" s="101">
        <v>1259498.92</v>
      </c>
      <c r="AM266" s="101">
        <v>501438.58</v>
      </c>
      <c r="AN266" s="101">
        <v>854437.12</v>
      </c>
      <c r="AO266" s="101">
        <v>0</v>
      </c>
      <c r="AP266" s="101">
        <v>22484</v>
      </c>
      <c r="AQ266" s="101">
        <v>0</v>
      </c>
      <c r="AR266" s="101">
        <v>0</v>
      </c>
      <c r="AS266" s="101">
        <v>0</v>
      </c>
      <c r="AT266" s="101">
        <v>831953.12</v>
      </c>
      <c r="AU266" s="101">
        <v>143390.57999999999</v>
      </c>
    </row>
    <row r="267" spans="1:47">
      <c r="A267" s="102" t="s">
        <v>949</v>
      </c>
      <c r="B267" s="102" t="e">
        <v>#N/A</v>
      </c>
      <c r="C267" s="101">
        <v>10872</v>
      </c>
      <c r="D267" s="101">
        <v>14840</v>
      </c>
      <c r="E267" s="101">
        <v>706704.24</v>
      </c>
      <c r="F267" s="101">
        <v>920747.2</v>
      </c>
      <c r="G267" s="101">
        <v>119820.58</v>
      </c>
      <c r="H267" s="101">
        <v>476589.97</v>
      </c>
      <c r="I267" s="101">
        <v>236061</v>
      </c>
      <c r="J267" s="101">
        <v>444157.23</v>
      </c>
      <c r="K267" s="101">
        <v>402591.42</v>
      </c>
      <c r="L267" s="101">
        <v>0</v>
      </c>
      <c r="M267" s="101">
        <v>0</v>
      </c>
      <c r="N267" s="101">
        <v>0</v>
      </c>
      <c r="O267" s="101">
        <v>0</v>
      </c>
      <c r="P267" s="101">
        <v>41565.81</v>
      </c>
      <c r="Q267" s="101">
        <v>69453.02</v>
      </c>
      <c r="R267" s="101">
        <v>19106</v>
      </c>
      <c r="S267" s="101">
        <v>25550</v>
      </c>
      <c r="T267" s="101">
        <v>1263834.33</v>
      </c>
      <c r="U267" s="101">
        <v>1631421.82</v>
      </c>
      <c r="V267" s="101">
        <v>201534.63</v>
      </c>
      <c r="W267" s="101">
        <v>821784.87</v>
      </c>
      <c r="X267" s="101">
        <v>408196</v>
      </c>
      <c r="Y267" s="101">
        <v>809636.95</v>
      </c>
      <c r="Z267" s="101">
        <v>691746.67</v>
      </c>
      <c r="AA267" s="101">
        <v>0</v>
      </c>
      <c r="AB267" s="101">
        <v>0</v>
      </c>
      <c r="AC267" s="101">
        <v>0</v>
      </c>
      <c r="AD267" s="101">
        <v>0</v>
      </c>
      <c r="AE267" s="101">
        <v>117890.28</v>
      </c>
      <c r="AF267" s="101">
        <v>125315.72</v>
      </c>
      <c r="AG267" s="101">
        <v>10398</v>
      </c>
      <c r="AH267" s="101">
        <v>14840</v>
      </c>
      <c r="AI267" s="101">
        <v>630107.1</v>
      </c>
      <c r="AJ267" s="101">
        <v>829688.49</v>
      </c>
      <c r="AK267" s="101">
        <v>110369.11</v>
      </c>
      <c r="AL267" s="101">
        <v>477837.98</v>
      </c>
      <c r="AM267" s="101">
        <v>217181.75</v>
      </c>
      <c r="AN267" s="101">
        <v>351850.51</v>
      </c>
      <c r="AO267" s="101">
        <v>394192</v>
      </c>
      <c r="AP267" s="101">
        <v>0</v>
      </c>
      <c r="AQ267" s="101">
        <v>0</v>
      </c>
      <c r="AR267" s="101">
        <v>0</v>
      </c>
      <c r="AS267" s="101">
        <v>0</v>
      </c>
      <c r="AT267" s="101">
        <v>-42341.49</v>
      </c>
      <c r="AU267" s="101">
        <v>44485.72</v>
      </c>
    </row>
    <row r="268" spans="1:47">
      <c r="A268" s="102" t="s">
        <v>950</v>
      </c>
      <c r="B268" s="102" t="e">
        <v>#N/A</v>
      </c>
      <c r="C268" s="101">
        <v>27385</v>
      </c>
      <c r="D268" s="101">
        <v>51728</v>
      </c>
      <c r="E268" s="101">
        <v>1625900</v>
      </c>
      <c r="F268" s="101">
        <v>2526506.75</v>
      </c>
      <c r="G268" s="101">
        <v>539800</v>
      </c>
      <c r="H268" s="101">
        <v>2100144.84</v>
      </c>
      <c r="I268" s="101">
        <v>1242856.02</v>
      </c>
      <c r="J268" s="101">
        <v>426361.91</v>
      </c>
      <c r="K268" s="101">
        <v>0</v>
      </c>
      <c r="L268" s="101">
        <v>75083.259999999995</v>
      </c>
      <c r="M268" s="101">
        <v>0</v>
      </c>
      <c r="N268" s="101">
        <v>0</v>
      </c>
      <c r="O268" s="101">
        <v>0</v>
      </c>
      <c r="P268" s="101">
        <v>351278.65</v>
      </c>
      <c r="Q268" s="101">
        <v>129878.25</v>
      </c>
      <c r="R268" s="101">
        <v>44695</v>
      </c>
      <c r="S268" s="101">
        <v>89060</v>
      </c>
      <c r="T268" s="101">
        <v>2600582.5</v>
      </c>
      <c r="U268" s="101">
        <v>4109945.5</v>
      </c>
      <c r="V268" s="101">
        <v>904950</v>
      </c>
      <c r="W268" s="101">
        <v>3532563.5900000008</v>
      </c>
      <c r="X268" s="101">
        <v>2126042.7200000002</v>
      </c>
      <c r="Y268" s="101">
        <v>577381.91</v>
      </c>
      <c r="Z268" s="101">
        <v>0</v>
      </c>
      <c r="AA268" s="101">
        <v>128714.16</v>
      </c>
      <c r="AB268" s="101">
        <v>0</v>
      </c>
      <c r="AC268" s="101">
        <v>0</v>
      </c>
      <c r="AD268" s="101">
        <v>0</v>
      </c>
      <c r="AE268" s="101">
        <v>448667.75</v>
      </c>
      <c r="AF268" s="101">
        <v>200403.63</v>
      </c>
      <c r="AG268" s="101">
        <v>29206</v>
      </c>
      <c r="AH268" s="101">
        <v>51728</v>
      </c>
      <c r="AI268" s="101">
        <v>1629857.79</v>
      </c>
      <c r="AJ268" s="101">
        <v>2614553.89</v>
      </c>
      <c r="AK268" s="101">
        <v>620732.52</v>
      </c>
      <c r="AL268" s="101">
        <v>2134781.7599999998</v>
      </c>
      <c r="AM268" s="101">
        <v>1274067.96</v>
      </c>
      <c r="AN268" s="101">
        <v>479772.13</v>
      </c>
      <c r="AO268" s="101">
        <v>0</v>
      </c>
      <c r="AP268" s="101">
        <v>65473.01</v>
      </c>
      <c r="AQ268" s="101">
        <v>0</v>
      </c>
      <c r="AR268" s="101">
        <v>0</v>
      </c>
      <c r="AS268" s="101">
        <v>0</v>
      </c>
      <c r="AT268" s="101">
        <v>414299.12</v>
      </c>
      <c r="AU268" s="101">
        <v>96012.46</v>
      </c>
    </row>
    <row r="269" spans="1:47">
      <c r="A269" s="102" t="s">
        <v>951</v>
      </c>
      <c r="B269" s="102" t="e">
        <v>#N/A</v>
      </c>
      <c r="C269" s="101">
        <v>9586</v>
      </c>
      <c r="D269" s="101">
        <v>20088</v>
      </c>
      <c r="E269" s="101">
        <v>367952.4</v>
      </c>
      <c r="F269" s="101">
        <v>523677.4</v>
      </c>
      <c r="G269" s="101">
        <v>102360</v>
      </c>
      <c r="H269" s="101">
        <v>450035.02</v>
      </c>
      <c r="I269" s="101">
        <v>211602.85</v>
      </c>
      <c r="J269" s="101">
        <v>73642.38</v>
      </c>
      <c r="K269" s="101">
        <v>37499.99</v>
      </c>
      <c r="L269" s="101">
        <v>21512.75</v>
      </c>
      <c r="M269" s="101">
        <v>0</v>
      </c>
      <c r="N269" s="101">
        <v>0</v>
      </c>
      <c r="O269" s="101">
        <v>0</v>
      </c>
      <c r="P269" s="101">
        <v>14629.64</v>
      </c>
      <c r="Q269" s="101">
        <v>22062.39</v>
      </c>
      <c r="R269" s="101">
        <v>15038</v>
      </c>
      <c r="S269" s="101">
        <v>33976</v>
      </c>
      <c r="T269" s="101">
        <v>567476.73</v>
      </c>
      <c r="U269" s="101">
        <v>797714.73</v>
      </c>
      <c r="V269" s="101">
        <v>149523</v>
      </c>
      <c r="W269" s="101">
        <v>744092.52</v>
      </c>
      <c r="X269" s="101">
        <v>358079.76</v>
      </c>
      <c r="Y269" s="101">
        <v>53622.21</v>
      </c>
      <c r="Z269" s="101">
        <v>66666.64</v>
      </c>
      <c r="AA269" s="101">
        <v>36879</v>
      </c>
      <c r="AB269" s="101">
        <v>0</v>
      </c>
      <c r="AC269" s="101">
        <v>0</v>
      </c>
      <c r="AD269" s="101">
        <v>0</v>
      </c>
      <c r="AE269" s="101">
        <v>-49923.43</v>
      </c>
      <c r="AF269" s="101">
        <v>29784.51</v>
      </c>
      <c r="AG269" s="101">
        <v>9738</v>
      </c>
      <c r="AH269" s="101">
        <v>26288</v>
      </c>
      <c r="AI269" s="101">
        <v>367364.61</v>
      </c>
      <c r="AJ269" s="101">
        <v>480254.97</v>
      </c>
      <c r="AK269" s="101">
        <v>65108.92</v>
      </c>
      <c r="AL269" s="101">
        <v>444525.11</v>
      </c>
      <c r="AM269" s="101">
        <v>224185.47</v>
      </c>
      <c r="AN269" s="101">
        <v>35729.86</v>
      </c>
      <c r="AO269" s="101">
        <v>37499</v>
      </c>
      <c r="AP269" s="101">
        <v>21084</v>
      </c>
      <c r="AQ269" s="101">
        <v>0</v>
      </c>
      <c r="AR269" s="101">
        <v>0</v>
      </c>
      <c r="AS269" s="101">
        <v>0</v>
      </c>
      <c r="AT269" s="101">
        <v>-22853.14</v>
      </c>
      <c r="AU269" s="101">
        <v>16045.74</v>
      </c>
    </row>
    <row r="270" spans="1:47">
      <c r="A270" s="102" t="s">
        <v>952</v>
      </c>
      <c r="B270" s="102" t="e">
        <v>#N/A</v>
      </c>
      <c r="C270" s="101">
        <v>70076</v>
      </c>
      <c r="D270" s="101">
        <v>118880</v>
      </c>
      <c r="E270" s="101">
        <v>4143363.73</v>
      </c>
      <c r="F270" s="101">
        <v>6063189.4400000023</v>
      </c>
      <c r="G270" s="101">
        <v>1319805.58</v>
      </c>
      <c r="H270" s="101">
        <v>4263013.68</v>
      </c>
      <c r="I270" s="101">
        <v>2204346.87</v>
      </c>
      <c r="J270" s="101">
        <v>1800175.7599999991</v>
      </c>
      <c r="K270" s="101">
        <v>440091.41</v>
      </c>
      <c r="L270" s="101">
        <v>119416.01</v>
      </c>
      <c r="M270" s="101">
        <v>0</v>
      </c>
      <c r="N270" s="101">
        <v>0</v>
      </c>
      <c r="O270" s="101">
        <v>0</v>
      </c>
      <c r="P270" s="101">
        <v>1240668.3400000001</v>
      </c>
      <c r="Q270" s="101">
        <v>372834.66</v>
      </c>
      <c r="R270" s="101">
        <v>116925</v>
      </c>
      <c r="S270" s="101">
        <v>204066</v>
      </c>
      <c r="T270" s="101">
        <v>6841923.5899999999</v>
      </c>
      <c r="U270" s="101">
        <v>9998133.0800000001</v>
      </c>
      <c r="V270" s="101">
        <v>2149886.63</v>
      </c>
      <c r="W270" s="101">
        <v>7161731.1699999999</v>
      </c>
      <c r="X270" s="101">
        <v>3773230.4800000009</v>
      </c>
      <c r="Y270" s="101">
        <v>2836401.910000002</v>
      </c>
      <c r="Z270" s="101">
        <v>758413.31</v>
      </c>
      <c r="AA270" s="101">
        <v>204713.16</v>
      </c>
      <c r="AB270" s="101">
        <v>0</v>
      </c>
      <c r="AC270" s="101">
        <v>0</v>
      </c>
      <c r="AD270" s="101">
        <v>0</v>
      </c>
      <c r="AE270" s="101">
        <v>1873275.440000002</v>
      </c>
      <c r="AF270" s="101">
        <v>604598.86</v>
      </c>
      <c r="AG270" s="101">
        <v>70803</v>
      </c>
      <c r="AH270" s="101">
        <v>125080</v>
      </c>
      <c r="AI270" s="101">
        <v>4115254.6</v>
      </c>
      <c r="AJ270" s="101">
        <v>6038433.3900000006</v>
      </c>
      <c r="AK270" s="101">
        <v>1339172.72</v>
      </c>
      <c r="AL270" s="101">
        <v>4316643.7699999996</v>
      </c>
      <c r="AM270" s="101">
        <v>2216873.7599999998</v>
      </c>
      <c r="AN270" s="101">
        <v>1721789.62</v>
      </c>
      <c r="AO270" s="101">
        <v>431691</v>
      </c>
      <c r="AP270" s="101">
        <v>109041.01</v>
      </c>
      <c r="AQ270" s="101">
        <v>0</v>
      </c>
      <c r="AR270" s="101">
        <v>0</v>
      </c>
      <c r="AS270" s="101">
        <v>0</v>
      </c>
      <c r="AT270" s="101">
        <v>1181057.6100000001</v>
      </c>
      <c r="AU270" s="101">
        <v>299934.5</v>
      </c>
    </row>
    <row r="271" spans="1:47">
      <c r="A271" s="102" t="s">
        <v>953</v>
      </c>
      <c r="B271" s="102" t="e">
        <v>#N/A</v>
      </c>
      <c r="C271" s="101">
        <v>455050.71</v>
      </c>
      <c r="D271" s="101">
        <v>685768</v>
      </c>
      <c r="E271" s="101">
        <v>32759415.690000001</v>
      </c>
      <c r="F271" s="101">
        <v>49620075.380000003</v>
      </c>
      <c r="G271" s="101">
        <v>13240300.680000002</v>
      </c>
      <c r="H271" s="101">
        <v>35651023.640000001</v>
      </c>
      <c r="I271" s="101">
        <v>15560421.910000002</v>
      </c>
      <c r="J271" s="101">
        <v>13969051.739999996</v>
      </c>
      <c r="K271" s="101">
        <v>9100025.9000000004</v>
      </c>
      <c r="L271" s="101">
        <v>830323.48</v>
      </c>
      <c r="M271" s="101">
        <v>0</v>
      </c>
      <c r="N271" s="101">
        <v>0</v>
      </c>
      <c r="O271" s="101">
        <v>0</v>
      </c>
      <c r="P271" s="101">
        <v>4038702.3599999952</v>
      </c>
      <c r="Q271" s="101">
        <v>2468796.39</v>
      </c>
      <c r="R271" s="101">
        <v>784714.81</v>
      </c>
      <c r="S271" s="101">
        <v>1178588</v>
      </c>
      <c r="T271" s="101">
        <v>56621127.840000011</v>
      </c>
      <c r="U271" s="101">
        <v>85677388.299999997</v>
      </c>
      <c r="V271" s="101">
        <v>22871882.719999999</v>
      </c>
      <c r="W271" s="101">
        <v>61023825.840000004</v>
      </c>
      <c r="X271" s="101">
        <v>26772618.079999994</v>
      </c>
      <c r="Y271" s="101">
        <v>24653562.459999993</v>
      </c>
      <c r="Z271" s="101">
        <v>15608911.539999999</v>
      </c>
      <c r="AA271" s="101">
        <v>1424073.3</v>
      </c>
      <c r="AB271" s="101">
        <v>0</v>
      </c>
      <c r="AC271" s="101">
        <v>0</v>
      </c>
      <c r="AD271" s="101">
        <v>0</v>
      </c>
      <c r="AE271" s="101">
        <v>7620577.6199999964</v>
      </c>
      <c r="AF271" s="101">
        <v>4326721.74</v>
      </c>
      <c r="AG271" s="101">
        <v>438679</v>
      </c>
      <c r="AH271" s="101">
        <v>691968</v>
      </c>
      <c r="AI271" s="101">
        <v>30715132.510000005</v>
      </c>
      <c r="AJ271" s="101">
        <v>47019869.830000006</v>
      </c>
      <c r="AK271" s="101">
        <v>12831299.48000001</v>
      </c>
      <c r="AL271" s="101">
        <v>35304971.920000009</v>
      </c>
      <c r="AM271" s="101">
        <v>15244572.540000005</v>
      </c>
      <c r="AN271" s="101">
        <v>11714897.910000021</v>
      </c>
      <c r="AO271" s="101">
        <v>8901506.0999999996</v>
      </c>
      <c r="AP271" s="101">
        <v>938581.36</v>
      </c>
      <c r="AQ271" s="101">
        <v>0</v>
      </c>
      <c r="AR271" s="101">
        <v>0</v>
      </c>
      <c r="AS271" s="101">
        <v>0</v>
      </c>
      <c r="AT271" s="101">
        <v>1874810.4500000181</v>
      </c>
      <c r="AU271" s="101">
        <v>2107392.6800000002</v>
      </c>
    </row>
    <row r="272" spans="1:47">
      <c r="A272" s="102" t="s">
        <v>954</v>
      </c>
      <c r="B272" s="102" t="e">
        <v>#N/A</v>
      </c>
      <c r="C272" s="101">
        <v>734156.71</v>
      </c>
      <c r="D272" s="101">
        <v>1054090</v>
      </c>
      <c r="E272" s="101">
        <v>43899690.990000002</v>
      </c>
      <c r="F272" s="101">
        <v>72706852.800000012</v>
      </c>
      <c r="G272" s="101">
        <v>24322298.530000001</v>
      </c>
      <c r="H272" s="101">
        <v>53758251.190000005</v>
      </c>
      <c r="I272" s="101">
        <v>23129652.100000005</v>
      </c>
      <c r="J272" s="101">
        <v>18948601.610000003</v>
      </c>
      <c r="K272" s="101">
        <v>9110233.4399999995</v>
      </c>
      <c r="L272" s="101">
        <v>1214952.55</v>
      </c>
      <c r="M272" s="101">
        <v>0</v>
      </c>
      <c r="N272" s="101">
        <v>10207.540000000001</v>
      </c>
      <c r="O272" s="101">
        <v>0</v>
      </c>
      <c r="P272" s="101">
        <v>8623415.6199999955</v>
      </c>
      <c r="Q272" s="101">
        <v>3579711.75</v>
      </c>
      <c r="R272" s="101">
        <v>1247365.81</v>
      </c>
      <c r="S272" s="101">
        <v>1778232</v>
      </c>
      <c r="T272" s="101">
        <v>77850634.989999995</v>
      </c>
      <c r="U272" s="101">
        <v>127302315.56</v>
      </c>
      <c r="V272" s="101">
        <v>41744492.25</v>
      </c>
      <c r="W272" s="101">
        <v>92245806.709999993</v>
      </c>
      <c r="X272" s="101">
        <v>39892865.510000005</v>
      </c>
      <c r="Y272" s="101">
        <v>35056508.849999987</v>
      </c>
      <c r="Z272" s="101">
        <v>15626410.18</v>
      </c>
      <c r="AA272" s="101">
        <v>2083437.42</v>
      </c>
      <c r="AB272" s="101">
        <v>0</v>
      </c>
      <c r="AC272" s="101">
        <v>17498.64</v>
      </c>
      <c r="AD272" s="101">
        <v>0</v>
      </c>
      <c r="AE272" s="101">
        <v>17346661.249999993</v>
      </c>
      <c r="AF272" s="101">
        <v>6531919.2800000012</v>
      </c>
      <c r="AG272" s="101">
        <v>729086</v>
      </c>
      <c r="AH272" s="101">
        <v>1062120</v>
      </c>
      <c r="AI272" s="101">
        <v>42541092.759999998</v>
      </c>
      <c r="AJ272" s="101">
        <v>70949788.600000009</v>
      </c>
      <c r="AK272" s="101">
        <v>24027772.57</v>
      </c>
      <c r="AL272" s="101">
        <v>54306256.550000004</v>
      </c>
      <c r="AM272" s="101">
        <v>23719439.030000001</v>
      </c>
      <c r="AN272" s="101">
        <v>16643532.049999999</v>
      </c>
      <c r="AO272" s="101">
        <v>8901506.0999999996</v>
      </c>
      <c r="AP272" s="101">
        <v>1300740.3600000001</v>
      </c>
      <c r="AQ272" s="101">
        <v>0</v>
      </c>
      <c r="AR272" s="101">
        <v>0</v>
      </c>
      <c r="AS272" s="101">
        <v>0</v>
      </c>
      <c r="AT272" s="101">
        <v>6441285.5899999961</v>
      </c>
      <c r="AU272" s="101">
        <v>3080534.2</v>
      </c>
    </row>
    <row r="273" spans="1:47">
      <c r="A273" s="102" t="s">
        <v>1051</v>
      </c>
      <c r="B273" s="102" t="e">
        <v>#N/A</v>
      </c>
      <c r="C273" s="101">
        <v>734156.71</v>
      </c>
      <c r="D273" s="101">
        <v>1054090</v>
      </c>
      <c r="E273" s="101">
        <v>43899690.990000002</v>
      </c>
      <c r="F273" s="101">
        <v>72706852.800000012</v>
      </c>
      <c r="G273" s="101">
        <v>24322298.530000001</v>
      </c>
      <c r="H273" s="101">
        <v>53758251.190000005</v>
      </c>
      <c r="I273" s="101">
        <v>23129652.100000005</v>
      </c>
      <c r="J273" s="101">
        <v>18948601.610000003</v>
      </c>
      <c r="K273" s="101">
        <v>9110233.4399999995</v>
      </c>
      <c r="L273" s="101">
        <v>1214952.55</v>
      </c>
      <c r="M273" s="101">
        <v>0</v>
      </c>
      <c r="N273" s="101">
        <v>10207.540000000001</v>
      </c>
      <c r="O273" s="101">
        <v>0</v>
      </c>
      <c r="P273" s="101">
        <v>8623415.6199999955</v>
      </c>
      <c r="Q273" s="101">
        <v>3579711.75</v>
      </c>
      <c r="R273" s="101">
        <v>1247365.81</v>
      </c>
      <c r="S273" s="101">
        <v>1778232</v>
      </c>
      <c r="T273" s="101">
        <v>77850634.989999995</v>
      </c>
      <c r="U273" s="101">
        <v>127302315.56</v>
      </c>
      <c r="V273" s="101">
        <v>41744492.25</v>
      </c>
      <c r="W273" s="101">
        <v>92245806.709999993</v>
      </c>
      <c r="X273" s="101">
        <v>39892865.510000005</v>
      </c>
      <c r="Y273" s="101">
        <v>35056508.849999987</v>
      </c>
      <c r="Z273" s="101">
        <v>15626410.18</v>
      </c>
      <c r="AA273" s="101">
        <v>2083437.42</v>
      </c>
      <c r="AB273" s="101">
        <v>0</v>
      </c>
      <c r="AC273" s="101">
        <v>17498.64</v>
      </c>
      <c r="AD273" s="101">
        <v>0</v>
      </c>
      <c r="AE273" s="101">
        <v>17346661.249999993</v>
      </c>
      <c r="AF273" s="101">
        <v>6531919.2800000012</v>
      </c>
      <c r="AG273" s="101">
        <v>729086</v>
      </c>
      <c r="AH273" s="101">
        <v>1062120</v>
      </c>
      <c r="AI273" s="101">
        <v>42541092.759999998</v>
      </c>
      <c r="AJ273" s="101">
        <v>70949788.600000009</v>
      </c>
      <c r="AK273" s="101">
        <v>24027772.57</v>
      </c>
      <c r="AL273" s="101">
        <v>54306256.550000004</v>
      </c>
      <c r="AM273" s="101">
        <v>23719439.030000001</v>
      </c>
      <c r="AN273" s="101">
        <v>16643532.049999999</v>
      </c>
      <c r="AO273" s="101">
        <v>8901506.0999999996</v>
      </c>
      <c r="AP273" s="101">
        <v>1300740.3600000001</v>
      </c>
      <c r="AQ273" s="101">
        <v>0</v>
      </c>
      <c r="AR273" s="101">
        <v>0</v>
      </c>
      <c r="AS273" s="101">
        <v>0</v>
      </c>
      <c r="AT273" s="101">
        <v>6441285.5899999961</v>
      </c>
      <c r="AU273" s="101">
        <v>3080534.2</v>
      </c>
    </row>
    <row r="274" spans="1:47">
      <c r="A274" s="102" t="s">
        <v>1052</v>
      </c>
      <c r="B274" s="102" t="e">
        <v>#N/A</v>
      </c>
      <c r="C274" s="101">
        <v>734156.71</v>
      </c>
      <c r="D274" s="101">
        <v>1054090</v>
      </c>
      <c r="E274" s="101">
        <v>43899690.990000002</v>
      </c>
      <c r="F274" s="101">
        <v>72706852.800000012</v>
      </c>
      <c r="G274" s="101">
        <v>24322298.530000001</v>
      </c>
      <c r="H274" s="101">
        <v>53758251.190000005</v>
      </c>
      <c r="I274" s="101">
        <v>23129652.100000005</v>
      </c>
      <c r="J274" s="101">
        <v>18948601.610000003</v>
      </c>
      <c r="K274" s="101">
        <v>9110233.4399999995</v>
      </c>
      <c r="L274" s="101">
        <v>1214952.55</v>
      </c>
      <c r="M274" s="101">
        <v>0</v>
      </c>
      <c r="N274" s="101">
        <v>10207.540000000001</v>
      </c>
      <c r="O274" s="101">
        <v>0</v>
      </c>
      <c r="P274" s="101">
        <v>8623415.6199999955</v>
      </c>
      <c r="Q274" s="101">
        <v>3579711.75</v>
      </c>
      <c r="R274" s="101">
        <v>1247365.81</v>
      </c>
      <c r="S274" s="101">
        <v>1778232</v>
      </c>
      <c r="T274" s="101">
        <v>77850634.989999995</v>
      </c>
      <c r="U274" s="101">
        <v>127302315.56</v>
      </c>
      <c r="V274" s="101">
        <v>41744492.25</v>
      </c>
      <c r="W274" s="101">
        <v>92245806.709999993</v>
      </c>
      <c r="X274" s="101">
        <v>39892865.510000005</v>
      </c>
      <c r="Y274" s="101">
        <v>35056508.849999987</v>
      </c>
      <c r="Z274" s="101">
        <v>15626410.18</v>
      </c>
      <c r="AA274" s="101">
        <v>2083437.42</v>
      </c>
      <c r="AB274" s="101">
        <v>0</v>
      </c>
      <c r="AC274" s="101">
        <v>17498.64</v>
      </c>
      <c r="AD274" s="101">
        <v>0</v>
      </c>
      <c r="AE274" s="101">
        <v>17346661.249999993</v>
      </c>
      <c r="AF274" s="101">
        <v>6531919.2800000012</v>
      </c>
      <c r="AG274" s="101">
        <v>729086</v>
      </c>
      <c r="AH274" s="101">
        <v>1062120</v>
      </c>
      <c r="AI274" s="101">
        <v>42541092.759999998</v>
      </c>
      <c r="AJ274" s="101">
        <v>70949788.600000009</v>
      </c>
      <c r="AK274" s="101">
        <v>24027772.57</v>
      </c>
      <c r="AL274" s="101">
        <v>54306256.550000004</v>
      </c>
      <c r="AM274" s="101">
        <v>23719439.030000001</v>
      </c>
      <c r="AN274" s="101">
        <v>16643532.049999999</v>
      </c>
      <c r="AO274" s="101">
        <v>8901506.0999999996</v>
      </c>
      <c r="AP274" s="101">
        <v>1300740.3600000001</v>
      </c>
      <c r="AQ274" s="101">
        <v>0</v>
      </c>
      <c r="AR274" s="101">
        <v>0</v>
      </c>
      <c r="AS274" s="101">
        <v>0</v>
      </c>
      <c r="AT274" s="101">
        <v>6441285.5899999961</v>
      </c>
      <c r="AU274" s="101">
        <v>3080534.2</v>
      </c>
    </row>
    <row r="275" spans="1:47">
      <c r="A275" s="102" t="s">
        <v>1053</v>
      </c>
      <c r="B275" s="102" t="e">
        <v>#N/A</v>
      </c>
      <c r="C275" s="101">
        <v>0</v>
      </c>
      <c r="D275" s="101">
        <v>0</v>
      </c>
      <c r="E275" s="101">
        <v>0</v>
      </c>
      <c r="F275" s="101">
        <v>0</v>
      </c>
      <c r="G275" s="101">
        <v>0</v>
      </c>
      <c r="H275" s="101">
        <v>0</v>
      </c>
      <c r="I275" s="101">
        <v>0</v>
      </c>
      <c r="J275" s="101">
        <v>0</v>
      </c>
      <c r="K275" s="101">
        <v>0</v>
      </c>
      <c r="L275" s="101">
        <v>0</v>
      </c>
      <c r="M275" s="101">
        <v>0</v>
      </c>
      <c r="N275" s="101">
        <v>0</v>
      </c>
      <c r="O275" s="101">
        <v>0</v>
      </c>
      <c r="P275" s="101">
        <v>0</v>
      </c>
      <c r="Q275" s="101">
        <v>0</v>
      </c>
      <c r="R275" s="101">
        <v>0</v>
      </c>
      <c r="S275" s="101">
        <v>0</v>
      </c>
      <c r="T275" s="101">
        <v>0</v>
      </c>
      <c r="U275" s="101">
        <v>0</v>
      </c>
      <c r="V275" s="101">
        <v>0</v>
      </c>
      <c r="W275" s="101">
        <v>0</v>
      </c>
      <c r="X275" s="101">
        <v>0</v>
      </c>
      <c r="Y275" s="101">
        <v>0</v>
      </c>
      <c r="Z275" s="101">
        <v>0</v>
      </c>
      <c r="AA275" s="101">
        <v>0</v>
      </c>
      <c r="AB275" s="101">
        <v>0</v>
      </c>
      <c r="AC275" s="101">
        <v>0</v>
      </c>
      <c r="AD275" s="101">
        <v>0</v>
      </c>
      <c r="AE275" s="101">
        <v>0</v>
      </c>
      <c r="AF275" s="101">
        <v>0</v>
      </c>
      <c r="AG275" s="101">
        <v>0</v>
      </c>
      <c r="AH275" s="101">
        <v>13780</v>
      </c>
      <c r="AI275" s="101">
        <v>0</v>
      </c>
      <c r="AJ275" s="101">
        <v>0</v>
      </c>
      <c r="AK275" s="101">
        <v>0</v>
      </c>
      <c r="AL275" s="101">
        <v>0</v>
      </c>
      <c r="AM275" s="101">
        <v>0</v>
      </c>
      <c r="AN275" s="101">
        <v>0</v>
      </c>
      <c r="AO275" s="101">
        <v>0</v>
      </c>
      <c r="AP275" s="101">
        <v>0</v>
      </c>
      <c r="AQ275" s="101">
        <v>0</v>
      </c>
      <c r="AR275" s="101">
        <v>0</v>
      </c>
      <c r="AS275" s="101">
        <v>0</v>
      </c>
      <c r="AT275" s="101">
        <v>0</v>
      </c>
      <c r="AU275" s="101">
        <v>0</v>
      </c>
    </row>
    <row r="276" spans="1:47">
      <c r="A276" s="102" t="s">
        <v>1054</v>
      </c>
      <c r="B276" s="102" t="e">
        <v>#N/A</v>
      </c>
      <c r="C276" s="101">
        <v>0</v>
      </c>
      <c r="D276" s="101">
        <v>0</v>
      </c>
      <c r="E276" s="101">
        <v>0</v>
      </c>
      <c r="F276" s="101">
        <v>0</v>
      </c>
      <c r="G276" s="101">
        <v>0</v>
      </c>
      <c r="H276" s="101">
        <v>0</v>
      </c>
      <c r="I276" s="101">
        <v>0</v>
      </c>
      <c r="J276" s="101">
        <v>0</v>
      </c>
      <c r="K276" s="101">
        <v>0</v>
      </c>
      <c r="L276" s="101">
        <v>0</v>
      </c>
      <c r="M276" s="101">
        <v>0</v>
      </c>
      <c r="N276" s="101">
        <v>0</v>
      </c>
      <c r="O276" s="101">
        <v>0</v>
      </c>
      <c r="P276" s="101">
        <v>0</v>
      </c>
      <c r="Q276" s="101">
        <v>0</v>
      </c>
      <c r="R276" s="101">
        <v>0</v>
      </c>
      <c r="S276" s="101">
        <v>0</v>
      </c>
      <c r="T276" s="101">
        <v>0</v>
      </c>
      <c r="U276" s="101">
        <v>0</v>
      </c>
      <c r="V276" s="101">
        <v>0</v>
      </c>
      <c r="W276" s="101">
        <v>0</v>
      </c>
      <c r="X276" s="101">
        <v>0</v>
      </c>
      <c r="Y276" s="101">
        <v>0</v>
      </c>
      <c r="Z276" s="101">
        <v>0</v>
      </c>
      <c r="AA276" s="101">
        <v>0</v>
      </c>
      <c r="AB276" s="101">
        <v>0</v>
      </c>
      <c r="AC276" s="101">
        <v>0</v>
      </c>
      <c r="AD276" s="101">
        <v>0</v>
      </c>
      <c r="AE276" s="101">
        <v>0</v>
      </c>
      <c r="AF276" s="101">
        <v>0</v>
      </c>
      <c r="AG276" s="101">
        <v>0</v>
      </c>
      <c r="AH276" s="101">
        <v>9328</v>
      </c>
      <c r="AI276" s="101">
        <v>0</v>
      </c>
      <c r="AJ276" s="101">
        <v>0</v>
      </c>
      <c r="AK276" s="101">
        <v>0</v>
      </c>
      <c r="AL276" s="101">
        <v>0</v>
      </c>
      <c r="AM276" s="101">
        <v>0</v>
      </c>
      <c r="AN276" s="101">
        <v>0</v>
      </c>
      <c r="AO276" s="101">
        <v>0</v>
      </c>
      <c r="AP276" s="101">
        <v>0</v>
      </c>
      <c r="AQ276" s="101">
        <v>0</v>
      </c>
      <c r="AR276" s="101">
        <v>0</v>
      </c>
      <c r="AS276" s="101">
        <v>0</v>
      </c>
      <c r="AT276" s="101">
        <v>0</v>
      </c>
      <c r="AU276" s="101">
        <v>0</v>
      </c>
    </row>
    <row r="277" spans="1:47">
      <c r="A277" s="102" t="s">
        <v>1055</v>
      </c>
      <c r="B277" s="102" t="e">
        <v>#N/A</v>
      </c>
      <c r="C277" s="101">
        <v>734156.71</v>
      </c>
      <c r="D277" s="101">
        <v>1054090</v>
      </c>
      <c r="E277" s="101">
        <v>43899690.990000002</v>
      </c>
      <c r="F277" s="101">
        <v>72706852.800000012</v>
      </c>
      <c r="G277" s="101">
        <v>24322298.530000001</v>
      </c>
      <c r="H277" s="101">
        <v>53758251.190000005</v>
      </c>
      <c r="I277" s="101">
        <v>23129652.100000005</v>
      </c>
      <c r="J277" s="101">
        <v>18948601.610000003</v>
      </c>
      <c r="K277" s="101">
        <v>9110233.4399999995</v>
      </c>
      <c r="L277" s="101">
        <v>1214952.55</v>
      </c>
      <c r="M277" s="101">
        <v>0</v>
      </c>
      <c r="N277" s="101">
        <v>10207.540000000001</v>
      </c>
      <c r="O277" s="101">
        <v>0</v>
      </c>
      <c r="P277" s="101">
        <v>8623415.6199999955</v>
      </c>
      <c r="Q277" s="101">
        <v>3579711.75</v>
      </c>
      <c r="R277" s="101">
        <v>1247365.81</v>
      </c>
      <c r="S277" s="101">
        <v>1778232</v>
      </c>
      <c r="T277" s="101">
        <v>77850634.989999995</v>
      </c>
      <c r="U277" s="101">
        <v>127302315.56</v>
      </c>
      <c r="V277" s="101">
        <v>41744492.25</v>
      </c>
      <c r="W277" s="101">
        <v>92245806.709999993</v>
      </c>
      <c r="X277" s="101">
        <v>39892865.510000005</v>
      </c>
      <c r="Y277" s="101">
        <v>35056508.849999987</v>
      </c>
      <c r="Z277" s="101">
        <v>15626410.18</v>
      </c>
      <c r="AA277" s="101">
        <v>2083437.42</v>
      </c>
      <c r="AB277" s="101">
        <v>0</v>
      </c>
      <c r="AC277" s="101">
        <v>17498.64</v>
      </c>
      <c r="AD277" s="101">
        <v>0</v>
      </c>
      <c r="AE277" s="101">
        <v>17346661.249999993</v>
      </c>
      <c r="AF277" s="101">
        <v>6531919.2800000012</v>
      </c>
      <c r="AG277" s="101">
        <v>729086</v>
      </c>
      <c r="AH277" s="101">
        <v>1085228</v>
      </c>
      <c r="AI277" s="101">
        <v>42541092.759999998</v>
      </c>
      <c r="AJ277" s="101">
        <v>70949788.600000009</v>
      </c>
      <c r="AK277" s="101">
        <v>24027772.57</v>
      </c>
      <c r="AL277" s="101">
        <v>54306256.550000004</v>
      </c>
      <c r="AM277" s="101">
        <v>23719439.030000001</v>
      </c>
      <c r="AN277" s="101">
        <v>16643532.049999999</v>
      </c>
      <c r="AO277" s="101">
        <v>8901506.0999999996</v>
      </c>
      <c r="AP277" s="101">
        <v>1300740.3600000001</v>
      </c>
      <c r="AQ277" s="101">
        <v>0</v>
      </c>
      <c r="AR277" s="101">
        <v>0</v>
      </c>
      <c r="AS277" s="101">
        <v>0</v>
      </c>
      <c r="AT277" s="101">
        <v>6441285.5899999961</v>
      </c>
      <c r="AU277" s="101">
        <v>3080534.2</v>
      </c>
    </row>
    <row r="278" spans="1:47">
      <c r="A278" s="102" t="s">
        <v>1056</v>
      </c>
      <c r="B278" s="102" t="e">
        <v>#N/A</v>
      </c>
      <c r="C278" s="101">
        <v>1370688.9</v>
      </c>
      <c r="D278" s="101">
        <v>2087891</v>
      </c>
      <c r="E278" s="101">
        <v>97307865.849778801</v>
      </c>
      <c r="F278" s="101">
        <v>153562751.41445902</v>
      </c>
      <c r="G278" s="101">
        <v>45022539.968321621</v>
      </c>
      <c r="H278" s="101">
        <v>106904454.45452145</v>
      </c>
      <c r="I278" s="101">
        <v>42825900.215642437</v>
      </c>
      <c r="J278" s="101">
        <v>46658296.959937535</v>
      </c>
      <c r="K278" s="101">
        <v>11453017.15742</v>
      </c>
      <c r="L278" s="101">
        <v>2290504.6137144002</v>
      </c>
      <c r="M278" s="101">
        <v>0</v>
      </c>
      <c r="N278" s="101">
        <v>10207.540000000001</v>
      </c>
      <c r="O278" s="101">
        <v>0</v>
      </c>
      <c r="P278" s="101">
        <v>32914775.188803133</v>
      </c>
      <c r="Q278" s="101">
        <v>6627980.7707172614</v>
      </c>
      <c r="R278" s="101">
        <v>2359578.5700000012</v>
      </c>
      <c r="S278" s="101">
        <v>3547742</v>
      </c>
      <c r="T278" s="101">
        <v>173553314.36221111</v>
      </c>
      <c r="U278" s="101">
        <v>271330586.16147459</v>
      </c>
      <c r="V278" s="101">
        <v>78365868.671363741</v>
      </c>
      <c r="W278" s="101">
        <v>184952378.55418333</v>
      </c>
      <c r="X278" s="101">
        <v>74325450.338295028</v>
      </c>
      <c r="Y278" s="101">
        <v>86378207.607291222</v>
      </c>
      <c r="Z278" s="101">
        <v>19714075.610708006</v>
      </c>
      <c r="AA278" s="101">
        <v>3929558.0265008002</v>
      </c>
      <c r="AB278" s="101">
        <v>0</v>
      </c>
      <c r="AC278" s="101">
        <v>17498.64</v>
      </c>
      <c r="AD278" s="101">
        <v>0</v>
      </c>
      <c r="AE278" s="101">
        <v>62734573.970082462</v>
      </c>
      <c r="AF278" s="101">
        <v>12330698.547049319</v>
      </c>
      <c r="AG278" s="101">
        <v>1407175.38</v>
      </c>
      <c r="AH278" s="101">
        <v>2244728</v>
      </c>
      <c r="AI278" s="101">
        <v>95819781.732405007</v>
      </c>
      <c r="AJ278" s="101">
        <v>150551233.58610702</v>
      </c>
      <c r="AK278" s="101">
        <v>43496221.500618003</v>
      </c>
      <c r="AL278" s="101">
        <v>103480563.35040602</v>
      </c>
      <c r="AM278" s="101">
        <v>37639826.498317011</v>
      </c>
      <c r="AN278" s="101">
        <v>47070670.235701017</v>
      </c>
      <c r="AO278" s="101">
        <v>11126556.947830003</v>
      </c>
      <c r="AP278" s="101">
        <v>2076993.630562</v>
      </c>
      <c r="AQ278" s="101">
        <v>60286.190159999998</v>
      </c>
      <c r="AR278" s="101">
        <v>0</v>
      </c>
      <c r="AS278" s="101">
        <v>0</v>
      </c>
      <c r="AT278" s="101">
        <v>33806833.467149004</v>
      </c>
      <c r="AU278" s="101">
        <v>6432855.7900189999</v>
      </c>
    </row>
  </sheetData>
  <mergeCells count="3">
    <mergeCell ref="C5:Q5"/>
    <mergeCell ref="R5:AF5"/>
    <mergeCell ref="AG5:AU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E1:F414"/>
  <sheetViews>
    <sheetView topLeftCell="A351" workbookViewId="0">
      <selection activeCell="F39" sqref="F39"/>
    </sheetView>
  </sheetViews>
  <sheetFormatPr defaultColWidth="11.42578125" defaultRowHeight="15"/>
  <cols>
    <col min="1" max="4" width="9.140625" customWidth="1"/>
    <col min="5" max="5" width="40.5703125" style="109" bestFit="1" customWidth="1"/>
    <col min="6" max="6" width="33.42578125" style="109" customWidth="1"/>
  </cols>
  <sheetData>
    <row r="1" spans="5:6">
      <c r="E1" s="109">
        <f>+F1+1</f>
        <v>2</v>
      </c>
      <c r="F1" s="109">
        <v>1</v>
      </c>
    </row>
    <row r="6" spans="5:6">
      <c r="E6" s="116"/>
      <c r="F6" s="116"/>
    </row>
    <row r="7" spans="5:6">
      <c r="E7" s="111" t="s">
        <v>385</v>
      </c>
      <c r="F7" s="111" t="s">
        <v>74</v>
      </c>
    </row>
    <row r="8" spans="5:6">
      <c r="E8" s="115" t="s">
        <v>386</v>
      </c>
      <c r="F8" s="115" t="s">
        <v>76</v>
      </c>
    </row>
    <row r="9" spans="5:6">
      <c r="E9" s="115" t="s">
        <v>387</v>
      </c>
      <c r="F9" s="110" t="s">
        <v>77</v>
      </c>
    </row>
    <row r="10" spans="5:6">
      <c r="E10" s="115" t="s">
        <v>388</v>
      </c>
      <c r="F10" s="110" t="s">
        <v>78</v>
      </c>
    </row>
    <row r="11" spans="5:6">
      <c r="E11" s="115" t="s">
        <v>389</v>
      </c>
      <c r="F11" s="110" t="s">
        <v>79</v>
      </c>
    </row>
    <row r="12" spans="5:6">
      <c r="E12" s="115" t="s">
        <v>390</v>
      </c>
      <c r="F12" s="110" t="s">
        <v>80</v>
      </c>
    </row>
    <row r="13" spans="5:6">
      <c r="E13" s="115" t="s">
        <v>391</v>
      </c>
      <c r="F13" s="110" t="s">
        <v>81</v>
      </c>
    </row>
    <row r="14" spans="5:6">
      <c r="E14" s="115" t="s">
        <v>392</v>
      </c>
      <c r="F14" s="110" t="s">
        <v>393</v>
      </c>
    </row>
    <row r="15" spans="5:6">
      <c r="E15" s="123" t="s">
        <v>394</v>
      </c>
      <c r="F15" s="110" t="s">
        <v>395</v>
      </c>
    </row>
    <row r="16" spans="5:6">
      <c r="E16" s="115" t="s">
        <v>396</v>
      </c>
      <c r="F16" s="110" t="s">
        <v>82</v>
      </c>
    </row>
    <row r="17" spans="5:6">
      <c r="E17" s="115" t="s">
        <v>397</v>
      </c>
      <c r="F17" s="110" t="s">
        <v>83</v>
      </c>
    </row>
    <row r="18" spans="5:6">
      <c r="E18" s="115" t="s">
        <v>398</v>
      </c>
      <c r="F18" s="110" t="s">
        <v>84</v>
      </c>
    </row>
    <row r="19" spans="5:6">
      <c r="E19" s="115" t="s">
        <v>399</v>
      </c>
      <c r="F19" s="110" t="s">
        <v>85</v>
      </c>
    </row>
    <row r="20" spans="5:6">
      <c r="E20" s="115" t="s">
        <v>400</v>
      </c>
      <c r="F20" s="110" t="s">
        <v>86</v>
      </c>
    </row>
    <row r="21" spans="5:6">
      <c r="E21" s="115" t="s">
        <v>401</v>
      </c>
      <c r="F21" s="110" t="s">
        <v>87</v>
      </c>
    </row>
    <row r="22" spans="5:6">
      <c r="E22" s="115" t="s">
        <v>402</v>
      </c>
      <c r="F22" s="110" t="s">
        <v>88</v>
      </c>
    </row>
    <row r="23" spans="5:6">
      <c r="E23" s="115" t="s">
        <v>403</v>
      </c>
      <c r="F23" s="110" t="s">
        <v>404</v>
      </c>
    </row>
    <row r="24" spans="5:6">
      <c r="E24" s="115" t="s">
        <v>405</v>
      </c>
      <c r="F24" s="110" t="s">
        <v>89</v>
      </c>
    </row>
    <row r="25" spans="5:6">
      <c r="E25" s="115" t="s">
        <v>406</v>
      </c>
      <c r="F25" s="110" t="s">
        <v>90</v>
      </c>
    </row>
    <row r="26" spans="5:6">
      <c r="E26" s="115" t="s">
        <v>407</v>
      </c>
      <c r="F26" s="110" t="s">
        <v>91</v>
      </c>
    </row>
    <row r="27" spans="5:6">
      <c r="E27" s="115" t="s">
        <v>408</v>
      </c>
      <c r="F27" s="110" t="s">
        <v>92</v>
      </c>
    </row>
    <row r="28" spans="5:6">
      <c r="E28" s="115" t="s">
        <v>409</v>
      </c>
      <c r="F28" s="110" t="s">
        <v>93</v>
      </c>
    </row>
    <row r="29" spans="5:6">
      <c r="E29" s="115" t="s">
        <v>410</v>
      </c>
      <c r="F29" s="110" t="s">
        <v>94</v>
      </c>
    </row>
    <row r="30" spans="5:6">
      <c r="E30" s="115" t="s">
        <v>411</v>
      </c>
      <c r="F30" s="110" t="s">
        <v>412</v>
      </c>
    </row>
    <row r="31" spans="5:6">
      <c r="E31" s="115" t="s">
        <v>413</v>
      </c>
      <c r="F31" s="110" t="s">
        <v>95</v>
      </c>
    </row>
    <row r="32" spans="5:6">
      <c r="E32" s="115" t="s">
        <v>414</v>
      </c>
      <c r="F32" s="110" t="s">
        <v>96</v>
      </c>
    </row>
    <row r="33" spans="5:6">
      <c r="E33" s="115" t="s">
        <v>415</v>
      </c>
      <c r="F33" s="110" t="s">
        <v>97</v>
      </c>
    </row>
    <row r="34" spans="5:6">
      <c r="E34" s="115" t="s">
        <v>416</v>
      </c>
      <c r="F34" s="110" t="s">
        <v>98</v>
      </c>
    </row>
    <row r="35" spans="5:6">
      <c r="E35" s="115" t="s">
        <v>417</v>
      </c>
      <c r="F35" s="110" t="s">
        <v>418</v>
      </c>
    </row>
    <row r="36" spans="5:6">
      <c r="E36" s="115" t="s">
        <v>419</v>
      </c>
      <c r="F36" s="110" t="s">
        <v>99</v>
      </c>
    </row>
    <row r="37" spans="5:6">
      <c r="E37" s="115" t="s">
        <v>420</v>
      </c>
      <c r="F37" s="110" t="s">
        <v>100</v>
      </c>
    </row>
    <row r="38" spans="5:6">
      <c r="E38" s="129" t="s">
        <v>421</v>
      </c>
      <c r="F38" s="130" t="s">
        <v>101</v>
      </c>
    </row>
    <row r="39" spans="5:6">
      <c r="E39" s="115" t="s">
        <v>422</v>
      </c>
      <c r="F39" s="110" t="s">
        <v>102</v>
      </c>
    </row>
    <row r="40" spans="5:6">
      <c r="E40" s="115" t="s">
        <v>423</v>
      </c>
      <c r="F40" s="110" t="s">
        <v>103</v>
      </c>
    </row>
    <row r="41" spans="5:6">
      <c r="E41" s="115" t="s">
        <v>424</v>
      </c>
      <c r="F41" s="110" t="s">
        <v>425</v>
      </c>
    </row>
    <row r="42" spans="5:6">
      <c r="E42" s="115" t="s">
        <v>426</v>
      </c>
      <c r="F42" s="110" t="s">
        <v>104</v>
      </c>
    </row>
    <row r="43" spans="5:6">
      <c r="E43" s="115" t="s">
        <v>427</v>
      </c>
      <c r="F43" s="110" t="s">
        <v>105</v>
      </c>
    </row>
    <row r="44" spans="5:6">
      <c r="E44" s="115" t="s">
        <v>428</v>
      </c>
      <c r="F44" s="110" t="s">
        <v>106</v>
      </c>
    </row>
    <row r="45" spans="5:6">
      <c r="E45" s="115" t="s">
        <v>429</v>
      </c>
      <c r="F45" s="110" t="s">
        <v>107</v>
      </c>
    </row>
    <row r="46" spans="5:6">
      <c r="E46" s="115" t="s">
        <v>430</v>
      </c>
      <c r="F46" s="110" t="s">
        <v>108</v>
      </c>
    </row>
    <row r="47" spans="5:6">
      <c r="E47" s="122" t="s">
        <v>431</v>
      </c>
      <c r="F47" s="117" t="s">
        <v>109</v>
      </c>
    </row>
    <row r="48" spans="5:6">
      <c r="E48" s="115" t="s">
        <v>432</v>
      </c>
      <c r="F48" s="110" t="s">
        <v>110</v>
      </c>
    </row>
    <row r="49" spans="5:6">
      <c r="E49" s="115" t="s">
        <v>433</v>
      </c>
      <c r="F49" s="110" t="s">
        <v>111</v>
      </c>
    </row>
    <row r="50" spans="5:6">
      <c r="E50" s="115" t="s">
        <v>434</v>
      </c>
      <c r="F50" s="110" t="s">
        <v>112</v>
      </c>
    </row>
    <row r="51" spans="5:6">
      <c r="E51" s="115" t="s">
        <v>435</v>
      </c>
      <c r="F51" s="110" t="s">
        <v>113</v>
      </c>
    </row>
    <row r="52" spans="5:6">
      <c r="E52" s="115" t="s">
        <v>436</v>
      </c>
      <c r="F52" s="110" t="s">
        <v>114</v>
      </c>
    </row>
    <row r="53" spans="5:6">
      <c r="E53" s="115" t="s">
        <v>437</v>
      </c>
      <c r="F53" s="110" t="s">
        <v>115</v>
      </c>
    </row>
    <row r="54" spans="5:6">
      <c r="E54" s="115" t="s">
        <v>438</v>
      </c>
      <c r="F54" s="110" t="s">
        <v>439</v>
      </c>
    </row>
    <row r="55" spans="5:6">
      <c r="E55" s="115" t="s">
        <v>440</v>
      </c>
      <c r="F55" s="110" t="s">
        <v>116</v>
      </c>
    </row>
    <row r="56" spans="5:6">
      <c r="E56" s="115" t="s">
        <v>441</v>
      </c>
      <c r="F56" s="110" t="s">
        <v>117</v>
      </c>
    </row>
    <row r="57" spans="5:6">
      <c r="E57" s="115" t="s">
        <v>442</v>
      </c>
      <c r="F57" s="110" t="s">
        <v>118</v>
      </c>
    </row>
    <row r="58" spans="5:6">
      <c r="E58" s="115" t="s">
        <v>443</v>
      </c>
      <c r="F58" s="110" t="s">
        <v>444</v>
      </c>
    </row>
    <row r="59" spans="5:6">
      <c r="E59" s="115" t="s">
        <v>445</v>
      </c>
      <c r="F59" s="110" t="s">
        <v>119</v>
      </c>
    </row>
    <row r="60" spans="5:6">
      <c r="E60" s="115" t="s">
        <v>446</v>
      </c>
      <c r="F60" s="110" t="s">
        <v>120</v>
      </c>
    </row>
    <row r="61" spans="5:6">
      <c r="E61" s="115" t="s">
        <v>447</v>
      </c>
      <c r="F61" s="110" t="s">
        <v>448</v>
      </c>
    </row>
    <row r="62" spans="5:6">
      <c r="E62" s="115" t="s">
        <v>449</v>
      </c>
      <c r="F62" s="110" t="s">
        <v>121</v>
      </c>
    </row>
    <row r="63" spans="5:6">
      <c r="E63" s="115" t="s">
        <v>450</v>
      </c>
      <c r="F63" s="110" t="s">
        <v>122</v>
      </c>
    </row>
    <row r="64" spans="5:6">
      <c r="E64" s="115" t="s">
        <v>451</v>
      </c>
      <c r="F64" s="110" t="s">
        <v>123</v>
      </c>
    </row>
    <row r="65" spans="5:6">
      <c r="E65" s="115" t="s">
        <v>452</v>
      </c>
      <c r="F65" s="110" t="s">
        <v>124</v>
      </c>
    </row>
    <row r="66" spans="5:6">
      <c r="E66" s="115" t="s">
        <v>453</v>
      </c>
      <c r="F66" s="110" t="s">
        <v>125</v>
      </c>
    </row>
    <row r="67" spans="5:6">
      <c r="E67" s="115" t="s">
        <v>454</v>
      </c>
      <c r="F67" s="110" t="s">
        <v>126</v>
      </c>
    </row>
    <row r="68" spans="5:6">
      <c r="E68" s="115" t="s">
        <v>455</v>
      </c>
      <c r="F68" s="110" t="s">
        <v>127</v>
      </c>
    </row>
    <row r="69" spans="5:6">
      <c r="E69" s="115" t="s">
        <v>456</v>
      </c>
      <c r="F69" s="110" t="s">
        <v>128</v>
      </c>
    </row>
    <row r="70" spans="5:6">
      <c r="E70" s="115" t="s">
        <v>457</v>
      </c>
      <c r="F70" s="110" t="s">
        <v>129</v>
      </c>
    </row>
    <row r="71" spans="5:6">
      <c r="E71" s="115" t="s">
        <v>458</v>
      </c>
      <c r="F71" s="110" t="s">
        <v>459</v>
      </c>
    </row>
    <row r="72" spans="5:6">
      <c r="E72" s="115" t="s">
        <v>460</v>
      </c>
      <c r="F72" s="110" t="s">
        <v>130</v>
      </c>
    </row>
    <row r="73" spans="5:6">
      <c r="E73" s="115" t="s">
        <v>461</v>
      </c>
      <c r="F73" s="110" t="s">
        <v>462</v>
      </c>
    </row>
    <row r="74" spans="5:6">
      <c r="E74" s="115" t="s">
        <v>463</v>
      </c>
      <c r="F74" s="110" t="s">
        <v>131</v>
      </c>
    </row>
    <row r="75" spans="5:6">
      <c r="E75" s="115" t="s">
        <v>464</v>
      </c>
      <c r="F75" s="110" t="s">
        <v>132</v>
      </c>
    </row>
    <row r="76" spans="5:6">
      <c r="E76" s="115" t="s">
        <v>465</v>
      </c>
      <c r="F76" s="110" t="s">
        <v>133</v>
      </c>
    </row>
    <row r="77" spans="5:6">
      <c r="E77" s="115" t="s">
        <v>466</v>
      </c>
      <c r="F77" s="110" t="s">
        <v>134</v>
      </c>
    </row>
    <row r="78" spans="5:6">
      <c r="E78" s="115" t="s">
        <v>467</v>
      </c>
      <c r="F78" s="110" t="s">
        <v>135</v>
      </c>
    </row>
    <row r="79" spans="5:6">
      <c r="E79" s="115" t="s">
        <v>468</v>
      </c>
      <c r="F79" s="110" t="s">
        <v>469</v>
      </c>
    </row>
    <row r="80" spans="5:6">
      <c r="E80" s="115" t="s">
        <v>470</v>
      </c>
      <c r="F80" s="110" t="s">
        <v>136</v>
      </c>
    </row>
    <row r="81" spans="5:6">
      <c r="E81" s="115" t="s">
        <v>471</v>
      </c>
      <c r="F81" s="110" t="s">
        <v>472</v>
      </c>
    </row>
    <row r="82" spans="5:6">
      <c r="E82" s="115" t="s">
        <v>473</v>
      </c>
      <c r="F82" s="110" t="s">
        <v>474</v>
      </c>
    </row>
    <row r="83" spans="5:6">
      <c r="E83" s="115" t="s">
        <v>475</v>
      </c>
      <c r="F83" s="110" t="s">
        <v>137</v>
      </c>
    </row>
    <row r="84" spans="5:6">
      <c r="E84" s="115" t="s">
        <v>476</v>
      </c>
      <c r="F84" s="110" t="s">
        <v>477</v>
      </c>
    </row>
    <row r="85" spans="5:6">
      <c r="E85" s="115" t="s">
        <v>478</v>
      </c>
      <c r="F85" s="128" t="s">
        <v>138</v>
      </c>
    </row>
    <row r="86" spans="5:6">
      <c r="E86" s="115" t="s">
        <v>479</v>
      </c>
      <c r="F86" s="128" t="s">
        <v>480</v>
      </c>
    </row>
    <row r="87" spans="5:6">
      <c r="E87" s="115" t="s">
        <v>481</v>
      </c>
      <c r="F87" s="110" t="s">
        <v>482</v>
      </c>
    </row>
    <row r="88" spans="5:6">
      <c r="E88" s="115" t="s">
        <v>483</v>
      </c>
      <c r="F88" s="110" t="s">
        <v>139</v>
      </c>
    </row>
    <row r="89" spans="5:6">
      <c r="E89" s="115" t="s">
        <v>484</v>
      </c>
      <c r="F89" s="117" t="s">
        <v>485</v>
      </c>
    </row>
    <row r="90" spans="5:6">
      <c r="E90" s="115" t="s">
        <v>486</v>
      </c>
      <c r="F90" s="110" t="s">
        <v>140</v>
      </c>
    </row>
    <row r="91" spans="5:6">
      <c r="E91" s="115" t="s">
        <v>487</v>
      </c>
      <c r="F91" s="110" t="s">
        <v>488</v>
      </c>
    </row>
    <row r="92" spans="5:6">
      <c r="E92" s="115" t="s">
        <v>489</v>
      </c>
      <c r="F92" s="110" t="s">
        <v>200</v>
      </c>
    </row>
    <row r="93" spans="5:6">
      <c r="E93" s="115" t="s">
        <v>490</v>
      </c>
      <c r="F93" s="127" t="s">
        <v>491</v>
      </c>
    </row>
    <row r="94" spans="5:6">
      <c r="E94" s="115" t="s">
        <v>492</v>
      </c>
      <c r="F94" s="127" t="s">
        <v>141</v>
      </c>
    </row>
    <row r="95" spans="5:6">
      <c r="E95" s="115" t="s">
        <v>493</v>
      </c>
      <c r="F95" s="110" t="s">
        <v>142</v>
      </c>
    </row>
    <row r="96" spans="5:6">
      <c r="E96" s="115" t="s">
        <v>494</v>
      </c>
      <c r="F96" s="110" t="s">
        <v>495</v>
      </c>
    </row>
    <row r="97" spans="5:6">
      <c r="E97" s="115" t="s">
        <v>496</v>
      </c>
      <c r="F97" s="110" t="s">
        <v>497</v>
      </c>
    </row>
    <row r="98" spans="5:6">
      <c r="E98" s="115" t="s">
        <v>498</v>
      </c>
      <c r="F98" s="110" t="s">
        <v>499</v>
      </c>
    </row>
    <row r="99" spans="5:6">
      <c r="E99" s="115" t="s">
        <v>500</v>
      </c>
      <c r="F99" s="110" t="s">
        <v>143</v>
      </c>
    </row>
    <row r="100" spans="5:6">
      <c r="E100" s="115" t="s">
        <v>501</v>
      </c>
      <c r="F100" s="127" t="s">
        <v>502</v>
      </c>
    </row>
    <row r="101" spans="5:6">
      <c r="E101" s="115" t="s">
        <v>503</v>
      </c>
      <c r="F101" s="110" t="s">
        <v>144</v>
      </c>
    </row>
    <row r="102" spans="5:6">
      <c r="E102" s="115" t="s">
        <v>504</v>
      </c>
      <c r="F102" s="110" t="s">
        <v>145</v>
      </c>
    </row>
    <row r="103" spans="5:6">
      <c r="E103" s="115" t="s">
        <v>505</v>
      </c>
      <c r="F103" s="110" t="s">
        <v>506</v>
      </c>
    </row>
    <row r="104" spans="5:6">
      <c r="E104" s="115" t="s">
        <v>507</v>
      </c>
      <c r="F104" s="110" t="s">
        <v>146</v>
      </c>
    </row>
    <row r="105" spans="5:6">
      <c r="E105" s="115" t="s">
        <v>508</v>
      </c>
      <c r="F105" s="110" t="s">
        <v>147</v>
      </c>
    </row>
    <row r="106" spans="5:6">
      <c r="E106" s="115" t="s">
        <v>509</v>
      </c>
      <c r="F106" s="110" t="s">
        <v>510</v>
      </c>
    </row>
    <row r="107" spans="5:6">
      <c r="E107" s="115" t="s">
        <v>511</v>
      </c>
      <c r="F107" s="110" t="s">
        <v>148</v>
      </c>
    </row>
    <row r="108" spans="5:6">
      <c r="E108" s="115" t="s">
        <v>512</v>
      </c>
      <c r="F108" s="110" t="s">
        <v>513</v>
      </c>
    </row>
    <row r="109" spans="5:6">
      <c r="E109" s="115" t="s">
        <v>514</v>
      </c>
      <c r="F109" s="110" t="s">
        <v>515</v>
      </c>
    </row>
    <row r="110" spans="5:6">
      <c r="E110" s="115" t="s">
        <v>516</v>
      </c>
      <c r="F110" s="110" t="s">
        <v>149</v>
      </c>
    </row>
    <row r="111" spans="5:6">
      <c r="E111" s="115" t="s">
        <v>517</v>
      </c>
      <c r="F111" s="110" t="s">
        <v>518</v>
      </c>
    </row>
    <row r="112" spans="5:6">
      <c r="E112" s="115" t="s">
        <v>519</v>
      </c>
      <c r="F112" s="110" t="s">
        <v>150</v>
      </c>
    </row>
    <row r="113" spans="5:6">
      <c r="E113" s="115" t="s">
        <v>520</v>
      </c>
      <c r="F113" s="110" t="s">
        <v>151</v>
      </c>
    </row>
    <row r="114" spans="5:6">
      <c r="E114" s="115" t="s">
        <v>521</v>
      </c>
      <c r="F114" s="110" t="s">
        <v>522</v>
      </c>
    </row>
    <row r="115" spans="5:6">
      <c r="E115" s="115" t="s">
        <v>523</v>
      </c>
      <c r="F115" s="130" t="s">
        <v>524</v>
      </c>
    </row>
    <row r="116" spans="5:6">
      <c r="E116" s="115" t="s">
        <v>525</v>
      </c>
      <c r="F116" s="110" t="s">
        <v>152</v>
      </c>
    </row>
    <row r="117" spans="5:6">
      <c r="E117" s="115" t="s">
        <v>526</v>
      </c>
      <c r="F117" s="110" t="s">
        <v>527</v>
      </c>
    </row>
    <row r="118" spans="5:6">
      <c r="E118" s="115" t="s">
        <v>528</v>
      </c>
      <c r="F118" s="110" t="s">
        <v>153</v>
      </c>
    </row>
    <row r="119" spans="5:6">
      <c r="E119" s="115" t="s">
        <v>529</v>
      </c>
      <c r="F119" s="110" t="s">
        <v>530</v>
      </c>
    </row>
    <row r="120" spans="5:6">
      <c r="E120" s="115" t="s">
        <v>531</v>
      </c>
      <c r="F120" s="110" t="s">
        <v>154</v>
      </c>
    </row>
    <row r="121" spans="5:6">
      <c r="E121" s="115" t="s">
        <v>532</v>
      </c>
      <c r="F121" s="130" t="s">
        <v>155</v>
      </c>
    </row>
    <row r="122" spans="5:6">
      <c r="E122" s="115" t="s">
        <v>533</v>
      </c>
      <c r="F122" s="110" t="s">
        <v>534</v>
      </c>
    </row>
    <row r="123" spans="5:6">
      <c r="E123" s="115" t="s">
        <v>535</v>
      </c>
      <c r="F123" s="110" t="s">
        <v>536</v>
      </c>
    </row>
    <row r="124" spans="5:6">
      <c r="E124" s="115" t="s">
        <v>537</v>
      </c>
      <c r="F124" s="130" t="s">
        <v>156</v>
      </c>
    </row>
    <row r="125" spans="5:6">
      <c r="E125" s="115" t="s">
        <v>538</v>
      </c>
      <c r="F125" s="130" t="s">
        <v>539</v>
      </c>
    </row>
    <row r="126" spans="5:6">
      <c r="E126" s="115" t="s">
        <v>540</v>
      </c>
      <c r="F126" s="110" t="s">
        <v>157</v>
      </c>
    </row>
    <row r="127" spans="5:6">
      <c r="E127" s="115" t="s">
        <v>541</v>
      </c>
      <c r="F127" s="130" t="s">
        <v>542</v>
      </c>
    </row>
    <row r="128" spans="5:6">
      <c r="E128" s="115" t="s">
        <v>543</v>
      </c>
      <c r="F128" s="130" t="s">
        <v>544</v>
      </c>
    </row>
    <row r="129" spans="5:6">
      <c r="E129" s="115" t="s">
        <v>545</v>
      </c>
      <c r="F129" s="130" t="s">
        <v>546</v>
      </c>
    </row>
    <row r="130" spans="5:6">
      <c r="E130" s="115" t="s">
        <v>547</v>
      </c>
      <c r="F130" s="110" t="s">
        <v>548</v>
      </c>
    </row>
    <row r="131" spans="5:6">
      <c r="E131" s="115" t="s">
        <v>549</v>
      </c>
      <c r="F131" s="110" t="s">
        <v>550</v>
      </c>
    </row>
    <row r="132" spans="5:6">
      <c r="E132" s="115" t="s">
        <v>551</v>
      </c>
      <c r="F132" s="110" t="s">
        <v>552</v>
      </c>
    </row>
    <row r="133" spans="5:6">
      <c r="E133" s="115" t="s">
        <v>553</v>
      </c>
      <c r="F133" s="110" t="s">
        <v>554</v>
      </c>
    </row>
    <row r="134" spans="5:6">
      <c r="E134" s="115" t="s">
        <v>555</v>
      </c>
      <c r="F134" s="110" t="s">
        <v>556</v>
      </c>
    </row>
    <row r="135" spans="5:6">
      <c r="E135" s="115" t="s">
        <v>557</v>
      </c>
      <c r="F135" s="110" t="s">
        <v>558</v>
      </c>
    </row>
    <row r="136" spans="5:6">
      <c r="E136" s="115" t="s">
        <v>559</v>
      </c>
      <c r="F136" s="110" t="s">
        <v>560</v>
      </c>
    </row>
    <row r="137" spans="5:6">
      <c r="E137" s="115" t="s">
        <v>561</v>
      </c>
      <c r="F137" s="110" t="s">
        <v>562</v>
      </c>
    </row>
    <row r="138" spans="5:6">
      <c r="E138" s="115" t="s">
        <v>563</v>
      </c>
      <c r="F138" s="110" t="s">
        <v>564</v>
      </c>
    </row>
    <row r="139" spans="5:6">
      <c r="E139" s="115" t="s">
        <v>565</v>
      </c>
      <c r="F139" s="110" t="s">
        <v>566</v>
      </c>
    </row>
    <row r="140" spans="5:6">
      <c r="E140" s="115" t="s">
        <v>567</v>
      </c>
      <c r="F140" s="110" t="s">
        <v>568</v>
      </c>
    </row>
    <row r="141" spans="5:6">
      <c r="E141" s="115" t="s">
        <v>569</v>
      </c>
      <c r="F141" s="110" t="s">
        <v>570</v>
      </c>
    </row>
    <row r="142" spans="5:6">
      <c r="E142" s="115" t="s">
        <v>571</v>
      </c>
      <c r="F142" s="110" t="s">
        <v>572</v>
      </c>
    </row>
    <row r="143" spans="5:6">
      <c r="E143" s="115" t="s">
        <v>573</v>
      </c>
      <c r="F143" s="110" t="s">
        <v>574</v>
      </c>
    </row>
    <row r="144" spans="5:6">
      <c r="E144" s="115" t="s">
        <v>575</v>
      </c>
      <c r="F144" s="110" t="s">
        <v>576</v>
      </c>
    </row>
    <row r="145" spans="5:6">
      <c r="E145" s="115" t="s">
        <v>577</v>
      </c>
      <c r="F145" s="110" t="s">
        <v>578</v>
      </c>
    </row>
    <row r="146" spans="5:6">
      <c r="E146" s="115" t="s">
        <v>579</v>
      </c>
      <c r="F146" s="110" t="s">
        <v>580</v>
      </c>
    </row>
    <row r="147" spans="5:6">
      <c r="E147" s="115" t="s">
        <v>581</v>
      </c>
      <c r="F147" s="110" t="s">
        <v>582</v>
      </c>
    </row>
    <row r="148" spans="5:6">
      <c r="E148" s="115" t="s">
        <v>583</v>
      </c>
      <c r="F148" s="110" t="s">
        <v>584</v>
      </c>
    </row>
    <row r="149" spans="5:6">
      <c r="E149" s="115" t="s">
        <v>585</v>
      </c>
      <c r="F149" s="110" t="s">
        <v>158</v>
      </c>
    </row>
    <row r="150" spans="5:6">
      <c r="E150" s="115" t="s">
        <v>586</v>
      </c>
      <c r="F150" s="110" t="s">
        <v>587</v>
      </c>
    </row>
    <row r="151" spans="5:6">
      <c r="E151" s="115" t="s">
        <v>588</v>
      </c>
      <c r="F151" s="110" t="s">
        <v>589</v>
      </c>
    </row>
    <row r="152" spans="5:6">
      <c r="E152" s="118" t="s">
        <v>590</v>
      </c>
      <c r="F152" s="117" t="s">
        <v>590</v>
      </c>
    </row>
    <row r="153" spans="5:6">
      <c r="E153" s="115" t="s">
        <v>591</v>
      </c>
      <c r="F153" s="110" t="s">
        <v>159</v>
      </c>
    </row>
    <row r="154" spans="5:6">
      <c r="E154" s="115" t="s">
        <v>592</v>
      </c>
      <c r="F154" s="110" t="s">
        <v>593</v>
      </c>
    </row>
    <row r="155" spans="5:6">
      <c r="E155" s="115" t="s">
        <v>594</v>
      </c>
      <c r="F155" s="110" t="s">
        <v>160</v>
      </c>
    </row>
    <row r="156" spans="5:6">
      <c r="E156" s="118" t="s">
        <v>595</v>
      </c>
      <c r="F156" s="110" t="s">
        <v>595</v>
      </c>
    </row>
    <row r="157" spans="5:6">
      <c r="E157" s="115" t="s">
        <v>596</v>
      </c>
      <c r="F157" s="110" t="s">
        <v>597</v>
      </c>
    </row>
    <row r="158" spans="5:6">
      <c r="E158" s="118" t="s">
        <v>598</v>
      </c>
      <c r="F158" s="110" t="s">
        <v>598</v>
      </c>
    </row>
    <row r="159" spans="5:6">
      <c r="E159" s="115" t="s">
        <v>599</v>
      </c>
      <c r="F159" s="110" t="s">
        <v>600</v>
      </c>
    </row>
    <row r="160" spans="5:6">
      <c r="E160" s="115" t="s">
        <v>601</v>
      </c>
      <c r="F160" s="110" t="s">
        <v>602</v>
      </c>
    </row>
    <row r="161" spans="5:6">
      <c r="E161" s="115" t="s">
        <v>603</v>
      </c>
      <c r="F161" s="110" t="s">
        <v>604</v>
      </c>
    </row>
    <row r="162" spans="5:6">
      <c r="E162" s="118" t="s">
        <v>605</v>
      </c>
      <c r="F162" s="110" t="s">
        <v>606</v>
      </c>
    </row>
    <row r="163" spans="5:6">
      <c r="E163" s="118" t="s">
        <v>607</v>
      </c>
      <c r="F163" s="112" t="s">
        <v>607</v>
      </c>
    </row>
    <row r="164" spans="5:6">
      <c r="E164" s="115" t="s">
        <v>608</v>
      </c>
      <c r="F164" s="110" t="s">
        <v>161</v>
      </c>
    </row>
    <row r="165" spans="5:6">
      <c r="E165" s="115" t="s">
        <v>609</v>
      </c>
      <c r="F165" s="110" t="s">
        <v>610</v>
      </c>
    </row>
    <row r="166" spans="5:6">
      <c r="E166" s="115" t="s">
        <v>611</v>
      </c>
      <c r="F166" s="110" t="s">
        <v>612</v>
      </c>
    </row>
    <row r="167" spans="5:6">
      <c r="E167" s="115" t="s">
        <v>613</v>
      </c>
      <c r="F167" s="110" t="s">
        <v>614</v>
      </c>
    </row>
    <row r="168" spans="5:6">
      <c r="E168" s="118" t="s">
        <v>615</v>
      </c>
      <c r="F168" s="117" t="s">
        <v>615</v>
      </c>
    </row>
    <row r="169" spans="5:6">
      <c r="E169" s="118" t="s">
        <v>615</v>
      </c>
      <c r="F169" s="117" t="s">
        <v>616</v>
      </c>
    </row>
    <row r="170" spans="5:6">
      <c r="E170" s="115" t="s">
        <v>617</v>
      </c>
      <c r="F170" s="110" t="s">
        <v>618</v>
      </c>
    </row>
    <row r="171" spans="5:6">
      <c r="E171" s="115" t="s">
        <v>619</v>
      </c>
      <c r="F171" s="110" t="s">
        <v>620</v>
      </c>
    </row>
    <row r="172" spans="5:6">
      <c r="E172" s="122" t="s">
        <v>310</v>
      </c>
      <c r="F172" s="117" t="s">
        <v>621</v>
      </c>
    </row>
    <row r="173" spans="5:6">
      <c r="E173" s="115" t="s">
        <v>622</v>
      </c>
      <c r="F173" s="110" t="s">
        <v>623</v>
      </c>
    </row>
    <row r="174" spans="5:6">
      <c r="E174" s="115" t="s">
        <v>308</v>
      </c>
      <c r="F174" s="110" t="s">
        <v>32</v>
      </c>
    </row>
    <row r="175" spans="5:6">
      <c r="E175" s="115" t="s">
        <v>624</v>
      </c>
      <c r="F175" s="110" t="s">
        <v>625</v>
      </c>
    </row>
    <row r="176" spans="5:6">
      <c r="E176" s="115" t="s">
        <v>317</v>
      </c>
      <c r="F176" s="110" t="s">
        <v>5</v>
      </c>
    </row>
    <row r="177" spans="5:6">
      <c r="E177" s="115" t="s">
        <v>364</v>
      </c>
      <c r="F177" s="110" t="s">
        <v>2</v>
      </c>
    </row>
    <row r="178" spans="5:6">
      <c r="E178" s="115" t="s">
        <v>293</v>
      </c>
      <c r="F178" s="110" t="s">
        <v>162</v>
      </c>
    </row>
    <row r="179" spans="5:6">
      <c r="E179" s="115" t="s">
        <v>309</v>
      </c>
      <c r="F179" s="110" t="s">
        <v>21</v>
      </c>
    </row>
    <row r="180" spans="5:6">
      <c r="E180" s="115" t="s">
        <v>304</v>
      </c>
      <c r="F180" s="110" t="s">
        <v>29</v>
      </c>
    </row>
    <row r="181" spans="5:6">
      <c r="E181" s="115" t="s">
        <v>311</v>
      </c>
      <c r="F181" s="110" t="s">
        <v>69</v>
      </c>
    </row>
    <row r="182" spans="5:6">
      <c r="E182" s="115" t="s">
        <v>353</v>
      </c>
      <c r="F182" s="110" t="s">
        <v>40</v>
      </c>
    </row>
    <row r="183" spans="5:6">
      <c r="E183" s="115" t="s">
        <v>626</v>
      </c>
      <c r="F183" s="110" t="s">
        <v>627</v>
      </c>
    </row>
    <row r="184" spans="5:6">
      <c r="E184" s="115" t="s">
        <v>628</v>
      </c>
      <c r="F184" s="110" t="s">
        <v>629</v>
      </c>
    </row>
    <row r="185" spans="5:6">
      <c r="E185" s="115" t="s">
        <v>324</v>
      </c>
      <c r="F185" s="110" t="s">
        <v>36</v>
      </c>
    </row>
    <row r="186" spans="5:6">
      <c r="E186" s="115" t="s">
        <v>630</v>
      </c>
      <c r="F186" s="110" t="s">
        <v>631</v>
      </c>
    </row>
    <row r="187" spans="5:6">
      <c r="E187" s="115" t="s">
        <v>335</v>
      </c>
      <c r="F187" s="110" t="s">
        <v>15</v>
      </c>
    </row>
    <row r="188" spans="5:6">
      <c r="E188" s="115" t="s">
        <v>332</v>
      </c>
      <c r="F188" s="110" t="s">
        <v>44</v>
      </c>
    </row>
    <row r="189" spans="5:6">
      <c r="E189" s="115" t="s">
        <v>376</v>
      </c>
      <c r="F189" s="110" t="s">
        <v>0</v>
      </c>
    </row>
    <row r="190" spans="5:6">
      <c r="E190" s="115" t="s">
        <v>632</v>
      </c>
      <c r="F190" s="110" t="s">
        <v>633</v>
      </c>
    </row>
    <row r="191" spans="5:6">
      <c r="E191" s="115" t="s">
        <v>634</v>
      </c>
      <c r="F191" s="110" t="s">
        <v>635</v>
      </c>
    </row>
    <row r="192" spans="5:6">
      <c r="E192" s="115" t="s">
        <v>316</v>
      </c>
      <c r="F192" s="110" t="s">
        <v>7</v>
      </c>
    </row>
    <row r="193" spans="5:6">
      <c r="E193" s="115" t="s">
        <v>370</v>
      </c>
      <c r="F193" s="110" t="s">
        <v>17</v>
      </c>
    </row>
    <row r="194" spans="5:6">
      <c r="E194" s="115" t="s">
        <v>365</v>
      </c>
      <c r="F194" s="110" t="s">
        <v>47</v>
      </c>
    </row>
    <row r="195" spans="5:6">
      <c r="E195" s="115" t="s">
        <v>367</v>
      </c>
      <c r="F195" s="110" t="s">
        <v>31</v>
      </c>
    </row>
    <row r="196" spans="5:6">
      <c r="E196" s="115" t="s">
        <v>636</v>
      </c>
      <c r="F196" s="110" t="s">
        <v>637</v>
      </c>
    </row>
    <row r="197" spans="5:6">
      <c r="E197" s="115" t="s">
        <v>360</v>
      </c>
      <c r="F197" s="110" t="s">
        <v>42</v>
      </c>
    </row>
    <row r="198" spans="5:6">
      <c r="E198" s="115" t="s">
        <v>638</v>
      </c>
      <c r="F198" s="110" t="s">
        <v>639</v>
      </c>
    </row>
    <row r="199" spans="5:6">
      <c r="E199" s="115" t="s">
        <v>640</v>
      </c>
      <c r="F199" s="110" t="s">
        <v>641</v>
      </c>
    </row>
    <row r="200" spans="5:6">
      <c r="E200" s="115" t="s">
        <v>361</v>
      </c>
      <c r="F200" s="110" t="s">
        <v>23</v>
      </c>
    </row>
    <row r="201" spans="5:6">
      <c r="E201" s="115" t="s">
        <v>642</v>
      </c>
      <c r="F201" s="110" t="s">
        <v>30</v>
      </c>
    </row>
    <row r="202" spans="5:6">
      <c r="E202" s="115" t="s">
        <v>363</v>
      </c>
      <c r="F202" s="110" t="s">
        <v>67</v>
      </c>
    </row>
    <row r="203" spans="5:6">
      <c r="E203" s="115" t="s">
        <v>643</v>
      </c>
      <c r="F203" s="110" t="s">
        <v>644</v>
      </c>
    </row>
    <row r="204" spans="5:6">
      <c r="E204" s="115" t="s">
        <v>645</v>
      </c>
      <c r="F204" s="110" t="s">
        <v>646</v>
      </c>
    </row>
    <row r="205" spans="5:6">
      <c r="E205" s="115" t="s">
        <v>647</v>
      </c>
      <c r="F205" s="110" t="s">
        <v>648</v>
      </c>
    </row>
    <row r="206" spans="5:6">
      <c r="E206" s="115" t="s">
        <v>349</v>
      </c>
      <c r="F206" s="110" t="s">
        <v>59</v>
      </c>
    </row>
    <row r="207" spans="5:6">
      <c r="E207" s="115" t="s">
        <v>348</v>
      </c>
      <c r="F207" s="110" t="s">
        <v>4</v>
      </c>
    </row>
    <row r="208" spans="5:6">
      <c r="E208" s="115" t="s">
        <v>649</v>
      </c>
      <c r="F208" s="110" t="s">
        <v>650</v>
      </c>
    </row>
    <row r="209" spans="5:6">
      <c r="E209" s="115" t="s">
        <v>300</v>
      </c>
      <c r="F209" s="110" t="s">
        <v>8</v>
      </c>
    </row>
    <row r="210" spans="5:6">
      <c r="E210" s="115" t="s">
        <v>301</v>
      </c>
      <c r="F210" s="110" t="s">
        <v>28</v>
      </c>
    </row>
    <row r="211" spans="5:6">
      <c r="E211" s="115" t="s">
        <v>314</v>
      </c>
      <c r="F211" s="110" t="s">
        <v>39</v>
      </c>
    </row>
    <row r="212" spans="5:6">
      <c r="E212" s="115" t="s">
        <v>651</v>
      </c>
      <c r="F212" s="110" t="s">
        <v>652</v>
      </c>
    </row>
    <row r="213" spans="5:6">
      <c r="E213" s="115" t="s">
        <v>315</v>
      </c>
      <c r="F213" s="110" t="s">
        <v>18</v>
      </c>
    </row>
    <row r="214" spans="5:6">
      <c r="E214" s="115" t="s">
        <v>312</v>
      </c>
      <c r="F214" s="110" t="s">
        <v>14</v>
      </c>
    </row>
    <row r="215" spans="5:6">
      <c r="E215" s="115" t="s">
        <v>307</v>
      </c>
      <c r="F215" s="110" t="s">
        <v>25</v>
      </c>
    </row>
    <row r="216" spans="5:6">
      <c r="E216" s="115" t="s">
        <v>375</v>
      </c>
      <c r="F216" s="110" t="s">
        <v>653</v>
      </c>
    </row>
    <row r="217" spans="5:6">
      <c r="E217" s="115" t="s">
        <v>306</v>
      </c>
      <c r="F217" s="110" t="s">
        <v>10</v>
      </c>
    </row>
    <row r="218" spans="5:6">
      <c r="E218" s="115" t="s">
        <v>654</v>
      </c>
      <c r="F218" s="110" t="s">
        <v>655</v>
      </c>
    </row>
    <row r="219" spans="5:6">
      <c r="E219" s="115" t="s">
        <v>328</v>
      </c>
      <c r="F219" s="110" t="s">
        <v>213</v>
      </c>
    </row>
    <row r="220" spans="5:6">
      <c r="E220" s="115" t="s">
        <v>305</v>
      </c>
      <c r="F220" s="110" t="s">
        <v>6</v>
      </c>
    </row>
    <row r="221" spans="5:6">
      <c r="E221" s="115" t="s">
        <v>302</v>
      </c>
      <c r="F221" s="110" t="s">
        <v>9</v>
      </c>
    </row>
    <row r="222" spans="5:6">
      <c r="E222" s="115" t="s">
        <v>366</v>
      </c>
      <c r="F222" s="126" t="s">
        <v>656</v>
      </c>
    </row>
    <row r="223" spans="5:6">
      <c r="E223" s="115" t="s">
        <v>303</v>
      </c>
      <c r="F223" s="130" t="s">
        <v>64</v>
      </c>
    </row>
    <row r="224" spans="5:6">
      <c r="E224" s="115" t="s">
        <v>369</v>
      </c>
      <c r="F224" s="110" t="s">
        <v>41</v>
      </c>
    </row>
    <row r="225" spans="5:6">
      <c r="E225" s="115" t="s">
        <v>362</v>
      </c>
      <c r="F225" s="110" t="s">
        <v>58</v>
      </c>
    </row>
    <row r="226" spans="5:6">
      <c r="E226" s="115" t="s">
        <v>657</v>
      </c>
      <c r="F226" s="110" t="s">
        <v>658</v>
      </c>
    </row>
    <row r="227" spans="5:6">
      <c r="E227" s="115" t="s">
        <v>368</v>
      </c>
      <c r="F227" s="117" t="s">
        <v>57</v>
      </c>
    </row>
    <row r="228" spans="5:6">
      <c r="E228" s="115" t="s">
        <v>318</v>
      </c>
      <c r="F228" s="110" t="s">
        <v>51</v>
      </c>
    </row>
    <row r="229" spans="5:6">
      <c r="E229" s="115" t="s">
        <v>659</v>
      </c>
      <c r="F229" s="130" t="s">
        <v>50</v>
      </c>
    </row>
    <row r="230" spans="5:6">
      <c r="E230" s="115" t="s">
        <v>660</v>
      </c>
      <c r="F230" s="130" t="s">
        <v>72</v>
      </c>
    </row>
    <row r="231" spans="5:6">
      <c r="E231" s="115" t="s">
        <v>321</v>
      </c>
      <c r="F231" s="117" t="s">
        <v>61</v>
      </c>
    </row>
    <row r="232" spans="5:6">
      <c r="E232" s="115" t="s">
        <v>319</v>
      </c>
      <c r="F232" s="110" t="s">
        <v>38</v>
      </c>
    </row>
    <row r="233" spans="5:6">
      <c r="E233" s="115" t="s">
        <v>661</v>
      </c>
      <c r="F233" s="110" t="s">
        <v>662</v>
      </c>
    </row>
    <row r="234" spans="5:6">
      <c r="E234" s="115" t="s">
        <v>663</v>
      </c>
      <c r="F234" s="110" t="s">
        <v>664</v>
      </c>
    </row>
    <row r="235" spans="5:6">
      <c r="E235" s="115" t="s">
        <v>665</v>
      </c>
      <c r="F235" s="110" t="s">
        <v>666</v>
      </c>
    </row>
    <row r="236" spans="5:6">
      <c r="E236" s="115" t="s">
        <v>322</v>
      </c>
      <c r="F236" s="110" t="s">
        <v>34</v>
      </c>
    </row>
    <row r="237" spans="5:6">
      <c r="E237" s="115" t="s">
        <v>320</v>
      </c>
      <c r="F237" s="110" t="s">
        <v>11</v>
      </c>
    </row>
    <row r="238" spans="5:6">
      <c r="E238" s="115" t="s">
        <v>667</v>
      </c>
      <c r="F238" s="110" t="s">
        <v>668</v>
      </c>
    </row>
    <row r="239" spans="5:6">
      <c r="E239" s="115" t="s">
        <v>669</v>
      </c>
      <c r="F239" s="110" t="s">
        <v>670</v>
      </c>
    </row>
    <row r="240" spans="5:6">
      <c r="E240" s="115" t="s">
        <v>671</v>
      </c>
      <c r="F240" s="110" t="s">
        <v>672</v>
      </c>
    </row>
    <row r="241" spans="5:6">
      <c r="E241" s="115" t="s">
        <v>673</v>
      </c>
      <c r="F241" s="110" t="s">
        <v>674</v>
      </c>
    </row>
    <row r="242" spans="5:6">
      <c r="E242" s="115" t="s">
        <v>675</v>
      </c>
      <c r="F242" s="110" t="s">
        <v>676</v>
      </c>
    </row>
    <row r="243" spans="5:6">
      <c r="E243" s="115" t="s">
        <v>313</v>
      </c>
      <c r="F243" s="130" t="s">
        <v>46</v>
      </c>
    </row>
    <row r="244" spans="5:6">
      <c r="E244" s="115" t="s">
        <v>373</v>
      </c>
      <c r="F244" s="117" t="s">
        <v>677</v>
      </c>
    </row>
    <row r="245" spans="5:6">
      <c r="E245" s="115" t="s">
        <v>678</v>
      </c>
      <c r="F245" s="110" t="s">
        <v>679</v>
      </c>
    </row>
    <row r="246" spans="5:6">
      <c r="E246" s="115" t="s">
        <v>359</v>
      </c>
      <c r="F246" s="110" t="s">
        <v>56</v>
      </c>
    </row>
    <row r="247" spans="5:6">
      <c r="E247" s="115" t="s">
        <v>354</v>
      </c>
      <c r="F247" s="110" t="s">
        <v>65</v>
      </c>
    </row>
    <row r="248" spans="5:6">
      <c r="E248" s="115" t="s">
        <v>680</v>
      </c>
      <c r="F248" s="110" t="s">
        <v>681</v>
      </c>
    </row>
    <row r="249" spans="5:6">
      <c r="E249" s="115" t="s">
        <v>336</v>
      </c>
      <c r="F249" s="110" t="s">
        <v>214</v>
      </c>
    </row>
    <row r="250" spans="5:6">
      <c r="E250" s="115" t="s">
        <v>682</v>
      </c>
      <c r="F250" s="110" t="s">
        <v>683</v>
      </c>
    </row>
    <row r="251" spans="5:6">
      <c r="E251" s="115" t="s">
        <v>684</v>
      </c>
      <c r="F251" s="110" t="s">
        <v>685</v>
      </c>
    </row>
    <row r="252" spans="5:6">
      <c r="E252" s="115" t="s">
        <v>346</v>
      </c>
      <c r="F252" s="110" t="s">
        <v>212</v>
      </c>
    </row>
    <row r="253" spans="5:6">
      <c r="E253" s="115" t="s">
        <v>686</v>
      </c>
      <c r="F253" s="110" t="s">
        <v>687</v>
      </c>
    </row>
    <row r="254" spans="5:6">
      <c r="E254" s="115" t="s">
        <v>688</v>
      </c>
      <c r="F254" s="110" t="s">
        <v>689</v>
      </c>
    </row>
    <row r="255" spans="5:6">
      <c r="E255" s="115" t="s">
        <v>690</v>
      </c>
      <c r="F255" s="110" t="s">
        <v>691</v>
      </c>
    </row>
    <row r="256" spans="5:6">
      <c r="E256" s="115" t="s">
        <v>351</v>
      </c>
      <c r="F256" s="110" t="s">
        <v>24</v>
      </c>
    </row>
    <row r="257" spans="5:6">
      <c r="E257" s="115" t="s">
        <v>350</v>
      </c>
      <c r="F257" s="110" t="s">
        <v>211</v>
      </c>
    </row>
    <row r="258" spans="5:6">
      <c r="E258" s="115" t="s">
        <v>692</v>
      </c>
      <c r="F258" s="110" t="s">
        <v>693</v>
      </c>
    </row>
    <row r="259" spans="5:6">
      <c r="E259" s="115" t="s">
        <v>372</v>
      </c>
      <c r="F259" s="110" t="s">
        <v>694</v>
      </c>
    </row>
    <row r="260" spans="5:6">
      <c r="E260" s="115" t="s">
        <v>374</v>
      </c>
      <c r="F260" s="110" t="s">
        <v>22</v>
      </c>
    </row>
    <row r="261" spans="5:6">
      <c r="E261" s="115" t="s">
        <v>371</v>
      </c>
      <c r="F261" s="110" t="s">
        <v>33</v>
      </c>
    </row>
    <row r="262" spans="5:6">
      <c r="E262" s="115" t="s">
        <v>695</v>
      </c>
      <c r="F262" s="110" t="s">
        <v>696</v>
      </c>
    </row>
    <row r="263" spans="5:6">
      <c r="E263" s="115" t="s">
        <v>352</v>
      </c>
      <c r="F263" s="110" t="s">
        <v>49</v>
      </c>
    </row>
    <row r="264" spans="5:6">
      <c r="E264" s="115" t="s">
        <v>697</v>
      </c>
      <c r="F264" s="110" t="s">
        <v>698</v>
      </c>
    </row>
    <row r="265" spans="5:6">
      <c r="E265" s="115" t="s">
        <v>699</v>
      </c>
      <c r="F265" s="110" t="s">
        <v>700</v>
      </c>
    </row>
    <row r="266" spans="5:6">
      <c r="E266" s="115" t="s">
        <v>701</v>
      </c>
      <c r="F266" s="110" t="s">
        <v>702</v>
      </c>
    </row>
    <row r="267" spans="5:6">
      <c r="E267" s="115" t="s">
        <v>703</v>
      </c>
      <c r="F267" s="110" t="s">
        <v>704</v>
      </c>
    </row>
    <row r="268" spans="5:6">
      <c r="E268" s="115" t="s">
        <v>705</v>
      </c>
      <c r="F268" s="110" t="s">
        <v>706</v>
      </c>
    </row>
    <row r="269" spans="5:6">
      <c r="E269" s="115" t="s">
        <v>707</v>
      </c>
      <c r="F269" s="110" t="s">
        <v>708</v>
      </c>
    </row>
    <row r="270" spans="5:6">
      <c r="E270" s="115" t="s">
        <v>709</v>
      </c>
      <c r="F270" s="110" t="s">
        <v>710</v>
      </c>
    </row>
    <row r="271" spans="5:6">
      <c r="E271" s="115" t="s">
        <v>711</v>
      </c>
      <c r="F271" s="110" t="s">
        <v>712</v>
      </c>
    </row>
    <row r="272" spans="5:6">
      <c r="E272" s="115" t="s">
        <v>713</v>
      </c>
      <c r="F272" s="110" t="s">
        <v>714</v>
      </c>
    </row>
    <row r="273" spans="5:6">
      <c r="E273" s="115" t="s">
        <v>715</v>
      </c>
      <c r="F273" s="110" t="s">
        <v>716</v>
      </c>
    </row>
    <row r="274" spans="5:6">
      <c r="E274" s="115" t="s">
        <v>717</v>
      </c>
      <c r="F274" s="110" t="s">
        <v>718</v>
      </c>
    </row>
    <row r="275" spans="5:6">
      <c r="E275" s="115" t="s">
        <v>341</v>
      </c>
      <c r="F275" s="110" t="s">
        <v>71</v>
      </c>
    </row>
    <row r="276" spans="5:6">
      <c r="E276" s="115" t="s">
        <v>719</v>
      </c>
      <c r="F276" s="110" t="s">
        <v>720</v>
      </c>
    </row>
    <row r="277" spans="5:6">
      <c r="E277" s="115" t="s">
        <v>721</v>
      </c>
      <c r="F277" s="110" t="s">
        <v>722</v>
      </c>
    </row>
    <row r="278" spans="5:6">
      <c r="E278" s="115" t="s">
        <v>337</v>
      </c>
      <c r="F278" s="110" t="s">
        <v>53</v>
      </c>
    </row>
    <row r="279" spans="5:6">
      <c r="E279" s="115" t="s">
        <v>723</v>
      </c>
      <c r="F279" s="110" t="s">
        <v>724</v>
      </c>
    </row>
    <row r="280" spans="5:6">
      <c r="E280" s="115" t="s">
        <v>344</v>
      </c>
      <c r="F280" s="110" t="s">
        <v>27</v>
      </c>
    </row>
    <row r="281" spans="5:6">
      <c r="E281" s="115" t="s">
        <v>725</v>
      </c>
      <c r="F281" s="110" t="s">
        <v>726</v>
      </c>
    </row>
    <row r="282" spans="5:6">
      <c r="E282" s="115" t="s">
        <v>327</v>
      </c>
      <c r="F282" s="110" t="s">
        <v>70</v>
      </c>
    </row>
    <row r="283" spans="5:6">
      <c r="E283" s="115" t="s">
        <v>727</v>
      </c>
      <c r="F283" s="110" t="s">
        <v>728</v>
      </c>
    </row>
    <row r="284" spans="5:6">
      <c r="E284" s="115" t="s">
        <v>729</v>
      </c>
      <c r="F284" s="110" t="s">
        <v>730</v>
      </c>
    </row>
    <row r="285" spans="5:6">
      <c r="E285" s="115" t="s">
        <v>731</v>
      </c>
      <c r="F285" s="110" t="s">
        <v>732</v>
      </c>
    </row>
    <row r="286" spans="5:6">
      <c r="E286" s="115" t="s">
        <v>733</v>
      </c>
      <c r="F286" s="110" t="s">
        <v>734</v>
      </c>
    </row>
    <row r="287" spans="5:6">
      <c r="E287" s="115" t="s">
        <v>358</v>
      </c>
      <c r="F287" s="110" t="s">
        <v>73</v>
      </c>
    </row>
    <row r="288" spans="5:6">
      <c r="E288" s="115" t="s">
        <v>735</v>
      </c>
      <c r="F288" s="110" t="s">
        <v>60</v>
      </c>
    </row>
    <row r="289" spans="5:6">
      <c r="E289" s="115" t="s">
        <v>347</v>
      </c>
      <c r="F289" s="110" t="s">
        <v>35</v>
      </c>
    </row>
    <row r="290" spans="5:6">
      <c r="E290" s="115" t="s">
        <v>345</v>
      </c>
      <c r="F290" s="110" t="s">
        <v>52</v>
      </c>
    </row>
    <row r="291" spans="5:6">
      <c r="E291" s="115" t="s">
        <v>356</v>
      </c>
      <c r="F291" s="110" t="s">
        <v>62</v>
      </c>
    </row>
    <row r="292" spans="5:6">
      <c r="E292" s="115" t="s">
        <v>342</v>
      </c>
      <c r="F292" s="110" t="s">
        <v>54</v>
      </c>
    </row>
    <row r="293" spans="5:6">
      <c r="E293" s="115" t="s">
        <v>736</v>
      </c>
      <c r="F293" s="110" t="s">
        <v>737</v>
      </c>
    </row>
    <row r="294" spans="5:6">
      <c r="E294" s="115" t="s">
        <v>738</v>
      </c>
      <c r="F294" s="110" t="s">
        <v>739</v>
      </c>
    </row>
    <row r="295" spans="5:6">
      <c r="E295" s="115" t="s">
        <v>340</v>
      </c>
      <c r="F295" s="110" t="s">
        <v>16</v>
      </c>
    </row>
    <row r="296" spans="5:6">
      <c r="E296" s="115" t="s">
        <v>740</v>
      </c>
      <c r="F296" s="110" t="s">
        <v>741</v>
      </c>
    </row>
    <row r="297" spans="5:6">
      <c r="E297" s="115" t="s">
        <v>742</v>
      </c>
      <c r="F297" s="110" t="s">
        <v>743</v>
      </c>
    </row>
    <row r="298" spans="5:6">
      <c r="E298" s="115" t="s">
        <v>744</v>
      </c>
      <c r="F298" s="110" t="s">
        <v>745</v>
      </c>
    </row>
    <row r="299" spans="5:6">
      <c r="E299" s="115" t="s">
        <v>329</v>
      </c>
      <c r="F299" s="110" t="s">
        <v>66</v>
      </c>
    </row>
    <row r="300" spans="5:6">
      <c r="E300" s="115" t="s">
        <v>357</v>
      </c>
      <c r="F300" s="110" t="s">
        <v>3</v>
      </c>
    </row>
    <row r="301" spans="5:6">
      <c r="E301" s="115" t="s">
        <v>343</v>
      </c>
      <c r="F301" s="110" t="s">
        <v>26</v>
      </c>
    </row>
    <row r="302" spans="5:6">
      <c r="E302" s="115" t="s">
        <v>746</v>
      </c>
      <c r="F302" s="110" t="s">
        <v>747</v>
      </c>
    </row>
    <row r="303" spans="5:6">
      <c r="E303" s="115" t="s">
        <v>748</v>
      </c>
      <c r="F303" s="110" t="s">
        <v>749</v>
      </c>
    </row>
    <row r="304" spans="5:6">
      <c r="E304" s="115" t="s">
        <v>750</v>
      </c>
      <c r="F304" s="110" t="s">
        <v>751</v>
      </c>
    </row>
    <row r="305" spans="5:6">
      <c r="E305" s="115" t="s">
        <v>377</v>
      </c>
      <c r="F305" s="110" t="s">
        <v>1</v>
      </c>
    </row>
    <row r="306" spans="5:6">
      <c r="E306" s="115" t="s">
        <v>752</v>
      </c>
      <c r="F306" s="110" t="s">
        <v>753</v>
      </c>
    </row>
    <row r="307" spans="5:6">
      <c r="E307" s="115" t="s">
        <v>754</v>
      </c>
      <c r="F307" s="110" t="s">
        <v>755</v>
      </c>
    </row>
    <row r="308" spans="5:6">
      <c r="E308" s="115" t="s">
        <v>330</v>
      </c>
      <c r="F308" s="110" t="s">
        <v>19</v>
      </c>
    </row>
    <row r="309" spans="5:6">
      <c r="E309" s="115" t="s">
        <v>323</v>
      </c>
      <c r="F309" s="110" t="s">
        <v>12</v>
      </c>
    </row>
    <row r="310" spans="5:6">
      <c r="E310" s="115" t="s">
        <v>756</v>
      </c>
      <c r="F310" s="110" t="s">
        <v>757</v>
      </c>
    </row>
    <row r="311" spans="5:6">
      <c r="E311" s="115" t="s">
        <v>331</v>
      </c>
      <c r="F311" s="110" t="s">
        <v>43</v>
      </c>
    </row>
    <row r="312" spans="5:6">
      <c r="E312" s="115" t="s">
        <v>758</v>
      </c>
      <c r="F312" s="110" t="s">
        <v>759</v>
      </c>
    </row>
    <row r="313" spans="5:6">
      <c r="E313" s="115" t="s">
        <v>760</v>
      </c>
      <c r="F313" s="110" t="s">
        <v>761</v>
      </c>
    </row>
    <row r="314" spans="5:6">
      <c r="E314" s="115" t="s">
        <v>762</v>
      </c>
      <c r="F314" s="124" t="s">
        <v>763</v>
      </c>
    </row>
    <row r="315" spans="5:6">
      <c r="E315" s="115" t="s">
        <v>764</v>
      </c>
      <c r="F315" s="110" t="s">
        <v>765</v>
      </c>
    </row>
    <row r="316" spans="5:6">
      <c r="E316" s="115" t="s">
        <v>766</v>
      </c>
      <c r="F316" s="110" t="s">
        <v>767</v>
      </c>
    </row>
    <row r="317" spans="5:6">
      <c r="E317" s="115" t="s">
        <v>768</v>
      </c>
      <c r="F317" s="124" t="s">
        <v>769</v>
      </c>
    </row>
    <row r="318" spans="5:6">
      <c r="E318" s="115" t="s">
        <v>770</v>
      </c>
      <c r="F318" s="110" t="s">
        <v>63</v>
      </c>
    </row>
    <row r="319" spans="5:6">
      <c r="E319" s="115" t="s">
        <v>771</v>
      </c>
      <c r="F319" s="110" t="s">
        <v>772</v>
      </c>
    </row>
    <row r="320" spans="5:6">
      <c r="E320" s="115" t="s">
        <v>773</v>
      </c>
      <c r="F320" s="110" t="s">
        <v>774</v>
      </c>
    </row>
    <row r="321" spans="5:6">
      <c r="E321" s="115" t="s">
        <v>775</v>
      </c>
      <c r="F321" s="110" t="s">
        <v>776</v>
      </c>
    </row>
    <row r="322" spans="5:6">
      <c r="E322" s="115" t="s">
        <v>777</v>
      </c>
      <c r="F322" s="110" t="s">
        <v>778</v>
      </c>
    </row>
    <row r="323" spans="5:6">
      <c r="E323" s="115" t="s">
        <v>779</v>
      </c>
      <c r="F323" s="110" t="s">
        <v>780</v>
      </c>
    </row>
    <row r="324" spans="5:6">
      <c r="E324" s="115" t="s">
        <v>781</v>
      </c>
      <c r="F324" s="110" t="s">
        <v>782</v>
      </c>
    </row>
    <row r="325" spans="5:6">
      <c r="E325" s="115" t="s">
        <v>783</v>
      </c>
      <c r="F325" s="110" t="s">
        <v>784</v>
      </c>
    </row>
    <row r="326" spans="5:6">
      <c r="E326" s="115" t="s">
        <v>339</v>
      </c>
      <c r="F326" s="110" t="s">
        <v>48</v>
      </c>
    </row>
    <row r="327" spans="5:6">
      <c r="E327" s="115" t="s">
        <v>355</v>
      </c>
      <c r="F327" s="110" t="s">
        <v>68</v>
      </c>
    </row>
    <row r="328" spans="5:6">
      <c r="E328" s="115" t="s">
        <v>325</v>
      </c>
      <c r="F328" s="110" t="s">
        <v>55</v>
      </c>
    </row>
    <row r="329" spans="5:6">
      <c r="E329" s="115" t="s">
        <v>326</v>
      </c>
      <c r="F329" s="110" t="s">
        <v>37</v>
      </c>
    </row>
    <row r="330" spans="5:6">
      <c r="E330" s="115" t="s">
        <v>785</v>
      </c>
      <c r="F330" s="110" t="s">
        <v>786</v>
      </c>
    </row>
    <row r="331" spans="5:6">
      <c r="E331" s="115" t="s">
        <v>338</v>
      </c>
      <c r="F331" s="110" t="s">
        <v>45</v>
      </c>
    </row>
    <row r="332" spans="5:6">
      <c r="E332" s="115" t="s">
        <v>787</v>
      </c>
      <c r="F332" s="110" t="s">
        <v>788</v>
      </c>
    </row>
    <row r="333" spans="5:6">
      <c r="E333" s="115" t="s">
        <v>334</v>
      </c>
      <c r="F333" s="110" t="s">
        <v>13</v>
      </c>
    </row>
    <row r="334" spans="5:6">
      <c r="E334" s="115" t="s">
        <v>789</v>
      </c>
      <c r="F334" s="110" t="s">
        <v>790</v>
      </c>
    </row>
    <row r="335" spans="5:6">
      <c r="E335" s="115" t="s">
        <v>791</v>
      </c>
      <c r="F335" s="110" t="s">
        <v>792</v>
      </c>
    </row>
    <row r="336" spans="5:6">
      <c r="E336" s="115" t="s">
        <v>333</v>
      </c>
      <c r="F336" s="110" t="s">
        <v>793</v>
      </c>
    </row>
    <row r="337" spans="5:6">
      <c r="E337" s="115" t="s">
        <v>794</v>
      </c>
      <c r="F337" s="130" t="s">
        <v>20</v>
      </c>
    </row>
    <row r="338" spans="5:6">
      <c r="E338" s="115" t="s">
        <v>795</v>
      </c>
      <c r="F338" s="110" t="s">
        <v>163</v>
      </c>
    </row>
    <row r="339" spans="5:6">
      <c r="E339" s="115" t="s">
        <v>796</v>
      </c>
      <c r="F339" s="110" t="s">
        <v>164</v>
      </c>
    </row>
    <row r="340" spans="5:6">
      <c r="E340" s="115" t="s">
        <v>797</v>
      </c>
      <c r="F340" s="110" t="s">
        <v>798</v>
      </c>
    </row>
    <row r="341" spans="5:6">
      <c r="E341" s="115" t="s">
        <v>799</v>
      </c>
      <c r="F341" s="110" t="s">
        <v>165</v>
      </c>
    </row>
    <row r="342" spans="5:6">
      <c r="E342" s="115" t="s">
        <v>800</v>
      </c>
      <c r="F342" s="110" t="s">
        <v>166</v>
      </c>
    </row>
    <row r="343" spans="5:6">
      <c r="E343" s="115" t="s">
        <v>801</v>
      </c>
      <c r="F343" s="110" t="s">
        <v>802</v>
      </c>
    </row>
    <row r="344" spans="5:6">
      <c r="E344" s="115" t="s">
        <v>803</v>
      </c>
      <c r="F344" s="110" t="s">
        <v>804</v>
      </c>
    </row>
    <row r="345" spans="5:6">
      <c r="E345" s="115" t="s">
        <v>805</v>
      </c>
      <c r="F345" s="110" t="s">
        <v>806</v>
      </c>
    </row>
    <row r="346" spans="5:6">
      <c r="E346" s="115" t="s">
        <v>807</v>
      </c>
      <c r="F346" s="110" t="s">
        <v>167</v>
      </c>
    </row>
    <row r="347" spans="5:6">
      <c r="E347" s="115" t="s">
        <v>808</v>
      </c>
      <c r="F347" s="110" t="s">
        <v>168</v>
      </c>
    </row>
    <row r="348" spans="5:6">
      <c r="E348" s="115" t="s">
        <v>809</v>
      </c>
      <c r="F348" s="110" t="s">
        <v>169</v>
      </c>
    </row>
    <row r="349" spans="5:6">
      <c r="E349" s="115" t="s">
        <v>810</v>
      </c>
      <c r="F349" s="110" t="s">
        <v>170</v>
      </c>
    </row>
    <row r="350" spans="5:6">
      <c r="E350" s="115" t="s">
        <v>811</v>
      </c>
      <c r="F350" s="110" t="s">
        <v>812</v>
      </c>
    </row>
    <row r="351" spans="5:6">
      <c r="E351" s="115" t="s">
        <v>813</v>
      </c>
      <c r="F351" s="110" t="s">
        <v>814</v>
      </c>
    </row>
    <row r="352" spans="5:6">
      <c r="E352" s="115" t="s">
        <v>815</v>
      </c>
      <c r="F352" s="110" t="s">
        <v>171</v>
      </c>
    </row>
    <row r="353" spans="5:6">
      <c r="E353" s="115" t="s">
        <v>816</v>
      </c>
      <c r="F353" s="110" t="s">
        <v>817</v>
      </c>
    </row>
    <row r="354" spans="5:6">
      <c r="E354" s="115" t="s">
        <v>818</v>
      </c>
      <c r="F354" s="110" t="s">
        <v>172</v>
      </c>
    </row>
    <row r="355" spans="5:6">
      <c r="E355" s="115" t="s">
        <v>819</v>
      </c>
      <c r="F355" s="110" t="s">
        <v>820</v>
      </c>
    </row>
    <row r="356" spans="5:6">
      <c r="E356" s="115" t="s">
        <v>821</v>
      </c>
      <c r="F356" s="110" t="s">
        <v>173</v>
      </c>
    </row>
    <row r="357" spans="5:6">
      <c r="E357" s="115" t="s">
        <v>822</v>
      </c>
      <c r="F357" s="110" t="s">
        <v>174</v>
      </c>
    </row>
    <row r="358" spans="5:6">
      <c r="E358" s="115" t="s">
        <v>823</v>
      </c>
      <c r="F358" s="110" t="s">
        <v>175</v>
      </c>
    </row>
    <row r="359" spans="5:6">
      <c r="E359" s="115" t="s">
        <v>824</v>
      </c>
      <c r="F359" s="110" t="s">
        <v>825</v>
      </c>
    </row>
    <row r="360" spans="5:6">
      <c r="E360" s="115" t="s">
        <v>826</v>
      </c>
      <c r="F360" s="110" t="s">
        <v>176</v>
      </c>
    </row>
    <row r="361" spans="5:6">
      <c r="E361" s="115" t="s">
        <v>827</v>
      </c>
      <c r="F361" s="130" t="s">
        <v>828</v>
      </c>
    </row>
    <row r="362" spans="5:6">
      <c r="E362" s="115" t="s">
        <v>829</v>
      </c>
      <c r="F362" s="110" t="s">
        <v>177</v>
      </c>
    </row>
    <row r="363" spans="5:6">
      <c r="E363" s="115" t="s">
        <v>830</v>
      </c>
      <c r="F363" s="110" t="s">
        <v>178</v>
      </c>
    </row>
    <row r="364" spans="5:6">
      <c r="E364" s="115" t="s">
        <v>831</v>
      </c>
      <c r="F364" s="117" t="s">
        <v>832</v>
      </c>
    </row>
    <row r="365" spans="5:6">
      <c r="E365" s="115" t="s">
        <v>833</v>
      </c>
      <c r="F365" s="110" t="s">
        <v>834</v>
      </c>
    </row>
    <row r="366" spans="5:6">
      <c r="E366" s="115" t="s">
        <v>835</v>
      </c>
      <c r="F366" s="130" t="s">
        <v>836</v>
      </c>
    </row>
    <row r="367" spans="5:6">
      <c r="E367" s="115" t="s">
        <v>837</v>
      </c>
      <c r="F367" s="110" t="s">
        <v>179</v>
      </c>
    </row>
    <row r="368" spans="5:6">
      <c r="E368" s="115" t="s">
        <v>838</v>
      </c>
      <c r="F368" s="110" t="s">
        <v>180</v>
      </c>
    </row>
    <row r="369" spans="5:6">
      <c r="E369" s="115" t="s">
        <v>839</v>
      </c>
      <c r="F369" s="110" t="s">
        <v>181</v>
      </c>
    </row>
    <row r="370" spans="5:6">
      <c r="E370" s="115" t="s">
        <v>840</v>
      </c>
      <c r="F370" s="110" t="s">
        <v>182</v>
      </c>
    </row>
    <row r="371" spans="5:6">
      <c r="E371" s="115" t="s">
        <v>841</v>
      </c>
      <c r="F371" s="130" t="s">
        <v>842</v>
      </c>
    </row>
    <row r="372" spans="5:6">
      <c r="E372" s="115" t="s">
        <v>843</v>
      </c>
      <c r="F372" s="110" t="s">
        <v>844</v>
      </c>
    </row>
    <row r="373" spans="5:6">
      <c r="E373" s="115" t="s">
        <v>845</v>
      </c>
      <c r="F373" s="110" t="s">
        <v>183</v>
      </c>
    </row>
    <row r="374" spans="5:6">
      <c r="E374" s="115" t="s">
        <v>846</v>
      </c>
      <c r="F374" s="110" t="s">
        <v>847</v>
      </c>
    </row>
    <row r="375" spans="5:6">
      <c r="E375" s="115" t="s">
        <v>848</v>
      </c>
      <c r="F375" s="130" t="s">
        <v>849</v>
      </c>
    </row>
    <row r="376" spans="5:6">
      <c r="E376" s="115" t="s">
        <v>850</v>
      </c>
      <c r="F376" s="110" t="s">
        <v>184</v>
      </c>
    </row>
    <row r="377" spans="5:6">
      <c r="E377" s="115" t="s">
        <v>851</v>
      </c>
      <c r="F377" s="110" t="s">
        <v>223</v>
      </c>
    </row>
    <row r="378" spans="5:6">
      <c r="E378" s="115" t="s">
        <v>852</v>
      </c>
      <c r="F378" s="110" t="s">
        <v>185</v>
      </c>
    </row>
    <row r="379" spans="5:6">
      <c r="E379" s="115" t="s">
        <v>853</v>
      </c>
      <c r="F379" s="110" t="s">
        <v>186</v>
      </c>
    </row>
    <row r="380" spans="5:6">
      <c r="E380" s="115" t="s">
        <v>854</v>
      </c>
      <c r="F380" s="110" t="s">
        <v>187</v>
      </c>
    </row>
    <row r="381" spans="5:6">
      <c r="E381" s="115" t="s">
        <v>855</v>
      </c>
      <c r="F381" s="110" t="s">
        <v>856</v>
      </c>
    </row>
    <row r="382" spans="5:6">
      <c r="E382" s="115" t="s">
        <v>857</v>
      </c>
      <c r="F382" s="110" t="s">
        <v>188</v>
      </c>
    </row>
    <row r="383" spans="5:6">
      <c r="E383" s="115" t="s">
        <v>858</v>
      </c>
      <c r="F383" s="130" t="s">
        <v>859</v>
      </c>
    </row>
    <row r="384" spans="5:6">
      <c r="E384" s="115" t="s">
        <v>860</v>
      </c>
      <c r="F384" s="110" t="s">
        <v>861</v>
      </c>
    </row>
    <row r="385" spans="5:6">
      <c r="E385" s="115" t="s">
        <v>862</v>
      </c>
      <c r="F385" s="110" t="s">
        <v>189</v>
      </c>
    </row>
    <row r="386" spans="5:6">
      <c r="E386" s="115" t="s">
        <v>863</v>
      </c>
      <c r="F386" s="110" t="s">
        <v>864</v>
      </c>
    </row>
    <row r="387" spans="5:6">
      <c r="E387" s="115" t="s">
        <v>865</v>
      </c>
      <c r="F387" s="110" t="s">
        <v>866</v>
      </c>
    </row>
    <row r="388" spans="5:6">
      <c r="E388" s="115" t="s">
        <v>867</v>
      </c>
      <c r="F388" s="110" t="s">
        <v>868</v>
      </c>
    </row>
    <row r="389" spans="5:6">
      <c r="E389" s="115"/>
      <c r="F389" s="110" t="s">
        <v>869</v>
      </c>
    </row>
    <row r="390" spans="5:6">
      <c r="E390" s="115"/>
      <c r="F390" s="110" t="s">
        <v>870</v>
      </c>
    </row>
    <row r="391" spans="5:6">
      <c r="E391" s="115"/>
      <c r="F391" s="110" t="s">
        <v>871</v>
      </c>
    </row>
    <row r="392" spans="5:6">
      <c r="E392" s="115"/>
      <c r="F392" s="110" t="s">
        <v>872</v>
      </c>
    </row>
    <row r="393" spans="5:6">
      <c r="E393" s="125"/>
      <c r="F393" s="110" t="s">
        <v>873</v>
      </c>
    </row>
    <row r="394" spans="5:6">
      <c r="E394" s="114"/>
      <c r="F394" s="110" t="s">
        <v>874</v>
      </c>
    </row>
    <row r="395" spans="5:6">
      <c r="E395" s="114"/>
      <c r="F395" s="110" t="s">
        <v>875</v>
      </c>
    </row>
    <row r="396" spans="5:6">
      <c r="E396" s="114"/>
      <c r="F396" s="110" t="s">
        <v>876</v>
      </c>
    </row>
    <row r="397" spans="5:6">
      <c r="E397" s="114"/>
      <c r="F397" s="110" t="s">
        <v>877</v>
      </c>
    </row>
    <row r="398" spans="5:6">
      <c r="E398" s="114"/>
      <c r="F398" s="110" t="s">
        <v>878</v>
      </c>
    </row>
    <row r="399" spans="5:6">
      <c r="E399" s="114"/>
      <c r="F399" s="110" t="s">
        <v>190</v>
      </c>
    </row>
    <row r="400" spans="5:6">
      <c r="E400" s="114"/>
      <c r="F400" s="110" t="s">
        <v>879</v>
      </c>
    </row>
    <row r="401" spans="5:6">
      <c r="E401" s="114"/>
      <c r="F401" s="110" t="s">
        <v>880</v>
      </c>
    </row>
    <row r="402" spans="5:6">
      <c r="E402" s="114"/>
      <c r="F402" s="110" t="s">
        <v>881</v>
      </c>
    </row>
    <row r="403" spans="5:6">
      <c r="E403" s="114"/>
      <c r="F403" s="124" t="s">
        <v>882</v>
      </c>
    </row>
    <row r="405" spans="5:6">
      <c r="E405" s="113">
        <f>+COUNTA(E8:E402)</f>
        <v>381</v>
      </c>
      <c r="F405" s="113">
        <f>+COUNTA(F8:F402)</f>
        <v>395</v>
      </c>
    </row>
    <row r="407" spans="5:6">
      <c r="E407" s="119" t="s">
        <v>883</v>
      </c>
    </row>
    <row r="409" spans="5:6">
      <c r="E409" s="120" t="s">
        <v>884</v>
      </c>
    </row>
    <row r="410" spans="5:6">
      <c r="E410" s="109" t="s">
        <v>885</v>
      </c>
    </row>
    <row r="411" spans="5:6">
      <c r="E411" s="109" t="s">
        <v>886</v>
      </c>
    </row>
    <row r="412" spans="5:6">
      <c r="E412" s="109" t="s">
        <v>887</v>
      </c>
    </row>
    <row r="413" spans="5:6">
      <c r="E413" s="109" t="s">
        <v>888</v>
      </c>
    </row>
    <row r="414" spans="5:6">
      <c r="E414" s="121" t="s">
        <v>384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BU Spain</vt:lpstr>
      <vt:lpstr>BU Americas </vt:lpstr>
      <vt:lpstr>BU Italy</vt:lpstr>
      <vt:lpstr>BU Central Europe</vt:lpstr>
      <vt:lpstr>BU Benelux</vt:lpstr>
      <vt:lpstr>Status</vt:lpstr>
      <vt:lpstr>Cálculos</vt:lpstr>
      <vt:lpstr>Khalix</vt:lpstr>
      <vt:lpstr>Sheet6</vt:lpstr>
      <vt:lpstr>TEMPLATE</vt:lpstr>
      <vt:lpstr>BU, Type of Rent</vt:lpstr>
      <vt:lpstr>Check Countries</vt:lpstr>
      <vt:lpstr>Check Centers</vt:lpstr>
      <vt:lpstr>TEMPLATE!Print_Area</vt:lpstr>
    </vt:vector>
  </TitlesOfParts>
  <Company>NH-HOTELES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 Hotels</dc:creator>
  <cp:lastModifiedBy>NH-HOTEL-GROUP</cp:lastModifiedBy>
  <cp:lastPrinted>2016-05-10T08:33:07Z</cp:lastPrinted>
  <dcterms:created xsi:type="dcterms:W3CDTF">2014-07-21T13:37:40Z</dcterms:created>
  <dcterms:modified xsi:type="dcterms:W3CDTF">2016-07-19T08:07:47Z</dcterms:modified>
</cp:coreProperties>
</file>